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Progressive Provider Dropbox\Roth and Co\Roth and Co 2023\Pointe Group\MassHealth Cost Reports\8-Southpointe MH 123122\Files for Upload\"/>
    </mc:Choice>
  </mc:AlternateContent>
  <xr:revisionPtr revIDLastSave="0" documentId="13_ncr:1_{561771F8-5FD3-4F02-BF6E-06FEA4FBF4FB}" xr6:coauthVersionLast="47" xr6:coauthVersionMax="47" xr10:uidLastSave="{00000000-0000-0000-0000-000000000000}"/>
  <bookViews>
    <workbookView xWindow="21168" yWindow="-100" windowWidth="21467" windowHeight="11576" activeTab="1" xr2:uid="{975DCBAF-E8A6-43DD-894F-040CA7B770CA}"/>
  </bookViews>
  <sheets>
    <sheet name="Acctg" sheetId="1" r:id="rId1"/>
    <sheet name="Employee Totals by Account" sheetId="3" r:id="rId2"/>
  </sheets>
  <externalReferences>
    <externalReference r:id="rId3"/>
  </externalReferences>
  <definedNames>
    <definedName name="_xlnm._FilterDatabase" localSheetId="1" hidden="1">'Employee Totals by Account'!#REF!</definedName>
    <definedName name="amount">'[1]Trial Balance'!$C$7:$C$97</definedName>
    <definedName name="Beginning_Balance">-FV(Interest_Rate/12,Payment_Number-1,-Monthly_Payment,Loan_Amount)</definedName>
    <definedName name="CHealthLife" localSheetId="1">'Employee Totals by Account'!$Q$5:$Q$24</definedName>
    <definedName name="CHealthLife">#REF!</definedName>
    <definedName name="Code">'[1]Trial Balance'!$A$7:$A$104</definedName>
    <definedName name="COtherBen" localSheetId="1">'Employee Totals by Account'!$R$5:$R$24</definedName>
    <definedName name="COtherBen">#REF!</definedName>
    <definedName name="CPens" localSheetId="1">'Employee Totals by Account'!$N$5:$N$24</definedName>
    <definedName name="CPens">#REF!</definedName>
    <definedName name="CPRTax" localSheetId="1">'Employee Totals by Account'!$I$5:$I$24</definedName>
    <definedName name="CPRTax">#REF!</definedName>
    <definedName name="CWage" localSheetId="1">'Employee Totals by Account'!$G$5:$G$24</definedName>
    <definedName name="CWage">#REF!</definedName>
    <definedName name="CWorkC" localSheetId="1">'Employee Totals by Account'!$J$5:$J$24</definedName>
    <definedName name="CWorkC">#REF!</definedName>
    <definedName name="Dental" localSheetId="1">'Employee Totals by Account'!$G$31</definedName>
    <definedName name="Dental">#REF!</definedName>
    <definedName name="EBLnRange" localSheetId="1">'Employee Totals by Account'!$A$4:$A$24</definedName>
    <definedName name="EBLnRange">#REF!</definedName>
    <definedName name="Ending_Balance">-FV(Interest_Rate/12,Payment_Number,-Monthly_Payment,Loan_Amount)</definedName>
    <definedName name="Health" localSheetId="1">'Employee Totals by Account'!$G$30</definedName>
    <definedName name="Health">#REF!</definedName>
    <definedName name="HealthLife" localSheetId="1">'Employee Totals by Account'!$G$30</definedName>
    <definedName name="HealthLife">#REF!</definedName>
    <definedName name="Interest">-IPMT(Interest_Rate/12,Payment_Number,Number_of_Payments,Loan_Amount)</definedName>
    <definedName name="Last_Row">IF(Values_Entered,Header_Row+Number_of_Payments,Header_Row)</definedName>
    <definedName name="Life" localSheetId="1">'Employee Totals by Account'!$G$32</definedName>
    <definedName name="Life">#REF!</definedName>
    <definedName name="Loan_Not_Paid">IF(Payment_Number&lt;=Number_of_Payments,1,0)</definedName>
    <definedName name="Monthly_Payment">-PMT(Interest_Rate/12,Number_of_Payments,Loan_Amount)</definedName>
    <definedName name="Other" localSheetId="1">'Employee Totals by Account'!$G$35</definedName>
    <definedName name="Other">#REF!</definedName>
    <definedName name="Other2" localSheetId="1">'Employee Totals by Account'!$G$36</definedName>
    <definedName name="Other2">#REF!</definedName>
    <definedName name="Payment_Date">DATE(YEAR(Loan_Start),MONTH(Loan_Start)+Payment_Number,DAY(Loan_Start))</definedName>
    <definedName name="Payment_Number">ROW()-Header_Row</definedName>
    <definedName name="Penwion" localSheetId="1">'Employee Totals by Account'!$G$34</definedName>
    <definedName name="Penwion">#REF!</definedName>
    <definedName name="Principal">-PPMT(Interest_Rate/12,Payment_Number,Number_of_Payments,Loan_Amount)</definedName>
    <definedName name="Principal2">-PPMT(Interest_Rate/12,Payment_Number,Number_of_Payments,Loan_Amount)</definedName>
    <definedName name="PRTax" localSheetId="1">'Employee Totals by Account'!$G$29</definedName>
    <definedName name="PRTax">#REF!</definedName>
    <definedName name="SalAcct" localSheetId="1">'Employee Totals by Account'!$B$5:$B$24</definedName>
    <definedName name="SalAcct">#REF!</definedName>
    <definedName name="TotBenRange" localSheetId="1">'Employee Totals by Account'!$Q$4:$Q$24</definedName>
    <definedName name="TotBenRange">#REF!</definedName>
    <definedName name="TotTaxRange" localSheetId="1">'Employee Totals by Account'!$R$4</definedName>
    <definedName name="TotTaxRange">#REF!</definedName>
    <definedName name="values_e">IF(Loan_Amount*Interest_Rate*Loan_Years*Loan_Start&gt;0,1,0)</definedName>
    <definedName name="Values_Entered">IF(Loan_Amount*Interest_Rate*Loan_Years*Loan_Start&gt;0,1,0)</definedName>
    <definedName name="WorkC" localSheetId="1">'Employee Totals by Account'!$G$33</definedName>
    <definedName name="WorkC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41" i="3" l="1"/>
  <c r="N41" i="3"/>
  <c r="M41" i="3"/>
  <c r="L41" i="3"/>
  <c r="K41" i="3"/>
  <c r="J41" i="3"/>
  <c r="I41" i="3"/>
  <c r="R40" i="3"/>
  <c r="Q40" i="3"/>
  <c r="P40" i="3"/>
  <c r="R39" i="3"/>
  <c r="Q39" i="3"/>
  <c r="P39" i="3"/>
  <c r="F36" i="3"/>
  <c r="G36" i="3"/>
  <c r="G35" i="3"/>
  <c r="H36" i="3" s="1"/>
  <c r="G34" i="3"/>
  <c r="F34" i="3"/>
  <c r="F33" i="3"/>
  <c r="G33" i="3"/>
  <c r="F32" i="3"/>
  <c r="G32" i="3"/>
  <c r="F31" i="3"/>
  <c r="G31" i="3"/>
  <c r="F30" i="3"/>
  <c r="G30" i="3"/>
  <c r="F29" i="3"/>
  <c r="G29" i="3" s="1"/>
  <c r="E37" i="3"/>
  <c r="D25" i="3"/>
  <c r="E24" i="3"/>
  <c r="F24" i="3" s="1"/>
  <c r="F23" i="3"/>
  <c r="E23" i="3"/>
  <c r="F22" i="3"/>
  <c r="E22" i="3"/>
  <c r="E21" i="3"/>
  <c r="F21" i="3" s="1"/>
  <c r="E20" i="3"/>
  <c r="F20" i="3" s="1"/>
  <c r="E19" i="3"/>
  <c r="F19" i="3" s="1"/>
  <c r="E18" i="3"/>
  <c r="F18" i="3" s="1"/>
  <c r="E17" i="3"/>
  <c r="F17" i="3" s="1"/>
  <c r="E16" i="3"/>
  <c r="F16" i="3" s="1"/>
  <c r="E15" i="3"/>
  <c r="F15" i="3" s="1"/>
  <c r="E14" i="3"/>
  <c r="F14" i="3" s="1"/>
  <c r="E13" i="3"/>
  <c r="F13" i="3" s="1"/>
  <c r="E12" i="3"/>
  <c r="F12" i="3" s="1"/>
  <c r="E11" i="3"/>
  <c r="F11" i="3" s="1"/>
  <c r="E10" i="3"/>
  <c r="F10" i="3" s="1"/>
  <c r="E9" i="3"/>
  <c r="F9" i="3" s="1"/>
  <c r="E8" i="3"/>
  <c r="F8" i="3" s="1"/>
  <c r="E7" i="3"/>
  <c r="F7" i="3" s="1"/>
  <c r="E6" i="3"/>
  <c r="F6" i="3" s="1"/>
  <c r="E5" i="3"/>
  <c r="E25" i="3" s="1"/>
  <c r="G25" i="3" l="1"/>
  <c r="H5" i="3" s="1"/>
  <c r="G37" i="3"/>
  <c r="H8" i="3"/>
  <c r="F5" i="3"/>
  <c r="F25" i="3" s="1"/>
  <c r="G27" i="3" l="1"/>
  <c r="H23" i="3"/>
  <c r="H24" i="3"/>
  <c r="G41" i="3"/>
  <c r="H15" i="3"/>
  <c r="H17" i="3"/>
  <c r="L5" i="3"/>
  <c r="K5" i="3"/>
  <c r="J5" i="3"/>
  <c r="I5" i="3"/>
  <c r="N5" i="3"/>
  <c r="M5" i="3"/>
  <c r="O5" i="3"/>
  <c r="H21" i="3"/>
  <c r="H11" i="3"/>
  <c r="H13" i="3"/>
  <c r="H20" i="3"/>
  <c r="H7" i="3"/>
  <c r="H9" i="3"/>
  <c r="H19" i="3"/>
  <c r="H16" i="3"/>
  <c r="H22" i="3"/>
  <c r="H6" i="3"/>
  <c r="K8" i="3"/>
  <c r="J8" i="3"/>
  <c r="M8" i="3"/>
  <c r="I8" i="3"/>
  <c r="O8" i="3"/>
  <c r="N8" i="3"/>
  <c r="L8" i="3"/>
  <c r="H12" i="3"/>
  <c r="H18" i="3"/>
  <c r="H14" i="3"/>
  <c r="H10" i="3"/>
  <c r="M17" i="3" l="1"/>
  <c r="L17" i="3"/>
  <c r="K17" i="3"/>
  <c r="J17" i="3"/>
  <c r="I17" i="3"/>
  <c r="O17" i="3"/>
  <c r="N17" i="3"/>
  <c r="O6" i="3"/>
  <c r="N6" i="3"/>
  <c r="M6" i="3"/>
  <c r="L6" i="3"/>
  <c r="K6" i="3"/>
  <c r="J6" i="3"/>
  <c r="I6" i="3"/>
  <c r="L21" i="3"/>
  <c r="J21" i="3"/>
  <c r="K21" i="3"/>
  <c r="I21" i="3"/>
  <c r="O21" i="3"/>
  <c r="N21" i="3"/>
  <c r="M21" i="3"/>
  <c r="I15" i="3"/>
  <c r="O15" i="3"/>
  <c r="N15" i="3"/>
  <c r="M15" i="3"/>
  <c r="K15" i="3"/>
  <c r="L15" i="3"/>
  <c r="J15" i="3"/>
  <c r="Q5" i="3"/>
  <c r="R8" i="3"/>
  <c r="P8" i="3"/>
  <c r="J12" i="3"/>
  <c r="O12" i="3"/>
  <c r="I12" i="3"/>
  <c r="N12" i="3"/>
  <c r="L12" i="3"/>
  <c r="K12" i="3"/>
  <c r="M12" i="3"/>
  <c r="N10" i="3"/>
  <c r="L10" i="3"/>
  <c r="M10" i="3"/>
  <c r="K10" i="3"/>
  <c r="J10" i="3"/>
  <c r="O10" i="3"/>
  <c r="I10" i="3"/>
  <c r="H25" i="3"/>
  <c r="K24" i="3"/>
  <c r="J24" i="3"/>
  <c r="I24" i="3"/>
  <c r="O24" i="3"/>
  <c r="N24" i="3"/>
  <c r="M24" i="3"/>
  <c r="L24" i="3"/>
  <c r="K16" i="3"/>
  <c r="J16" i="3"/>
  <c r="I16" i="3"/>
  <c r="O16" i="3"/>
  <c r="M16" i="3"/>
  <c r="N16" i="3"/>
  <c r="L16" i="3"/>
  <c r="N19" i="3"/>
  <c r="M19" i="3"/>
  <c r="O19" i="3"/>
  <c r="L19" i="3"/>
  <c r="K19" i="3"/>
  <c r="J19" i="3"/>
  <c r="I19" i="3"/>
  <c r="M9" i="3"/>
  <c r="L9" i="3"/>
  <c r="J9" i="3"/>
  <c r="K9" i="3"/>
  <c r="I9" i="3"/>
  <c r="N9" i="3"/>
  <c r="O9" i="3"/>
  <c r="I7" i="3"/>
  <c r="K7" i="3"/>
  <c r="O7" i="3"/>
  <c r="M7" i="3"/>
  <c r="N7" i="3"/>
  <c r="L7" i="3"/>
  <c r="J7" i="3"/>
  <c r="O14" i="3"/>
  <c r="N14" i="3"/>
  <c r="K14" i="3"/>
  <c r="M14" i="3"/>
  <c r="I14" i="3"/>
  <c r="L14" i="3"/>
  <c r="J14" i="3"/>
  <c r="J20" i="3"/>
  <c r="I20" i="3"/>
  <c r="O20" i="3"/>
  <c r="N20" i="3"/>
  <c r="M20" i="3"/>
  <c r="L20" i="3"/>
  <c r="K20" i="3"/>
  <c r="R5" i="3"/>
  <c r="P5" i="3"/>
  <c r="I23" i="3"/>
  <c r="N23" i="3"/>
  <c r="O23" i="3"/>
  <c r="M23" i="3"/>
  <c r="L23" i="3"/>
  <c r="K23" i="3"/>
  <c r="J23" i="3"/>
  <c r="N11" i="3"/>
  <c r="O11" i="3"/>
  <c r="M11" i="3"/>
  <c r="L11" i="3"/>
  <c r="J11" i="3"/>
  <c r="I11" i="3"/>
  <c r="K11" i="3"/>
  <c r="O22" i="3"/>
  <c r="N22" i="3"/>
  <c r="L22" i="3"/>
  <c r="M22" i="3"/>
  <c r="K22" i="3"/>
  <c r="J22" i="3"/>
  <c r="I22" i="3"/>
  <c r="N18" i="3"/>
  <c r="M18" i="3"/>
  <c r="L18" i="3"/>
  <c r="K18" i="3"/>
  <c r="J18" i="3"/>
  <c r="I18" i="3"/>
  <c r="O18" i="3"/>
  <c r="Q8" i="3"/>
  <c r="L13" i="3"/>
  <c r="J13" i="3"/>
  <c r="I13" i="3"/>
  <c r="K13" i="3"/>
  <c r="O13" i="3"/>
  <c r="N13" i="3"/>
  <c r="M13" i="3"/>
  <c r="Q12" i="3" l="1"/>
  <c r="L25" i="3"/>
  <c r="I25" i="3"/>
  <c r="J25" i="3"/>
  <c r="Q14" i="3"/>
  <c r="Q7" i="3"/>
  <c r="M25" i="3"/>
  <c r="Q6" i="3"/>
  <c r="O25" i="3"/>
  <c r="Q13" i="3"/>
  <c r="Q18" i="3"/>
  <c r="N25" i="3"/>
  <c r="Q19" i="3"/>
  <c r="K25" i="3"/>
  <c r="Q10" i="3"/>
  <c r="R12" i="3"/>
  <c r="P12" i="3"/>
  <c r="P7" i="3"/>
  <c r="R7" i="3"/>
  <c r="Q11" i="3"/>
  <c r="Q23" i="3"/>
  <c r="R9" i="3"/>
  <c r="P9" i="3"/>
  <c r="R16" i="3"/>
  <c r="P16" i="3"/>
  <c r="R24" i="3"/>
  <c r="P24" i="3"/>
  <c r="Q15" i="3"/>
  <c r="Q17" i="3"/>
  <c r="P15" i="3"/>
  <c r="R15" i="3"/>
  <c r="R13" i="3"/>
  <c r="P13" i="3"/>
  <c r="R20" i="3"/>
  <c r="P20" i="3"/>
  <c r="R17" i="3"/>
  <c r="P17" i="3"/>
  <c r="R22" i="3"/>
  <c r="P22" i="3"/>
  <c r="P11" i="3"/>
  <c r="R11" i="3"/>
  <c r="Q20" i="3"/>
  <c r="Q9" i="3"/>
  <c r="R21" i="3"/>
  <c r="P21" i="3"/>
  <c r="P23" i="3"/>
  <c r="R23" i="3"/>
  <c r="R18" i="3"/>
  <c r="P18" i="3"/>
  <c r="R14" i="3"/>
  <c r="P14" i="3"/>
  <c r="Q16" i="3"/>
  <c r="Q24" i="3"/>
  <c r="Q21" i="3"/>
  <c r="R10" i="3"/>
  <c r="P10" i="3"/>
  <c r="P19" i="3"/>
  <c r="R19" i="3"/>
  <c r="R6" i="3"/>
  <c r="P6" i="3"/>
  <c r="Q22" i="3"/>
  <c r="P25" i="3" l="1"/>
  <c r="R25" i="3"/>
  <c r="Q25" i="3"/>
</calcChain>
</file>

<file path=xl/sharedStrings.xml><?xml version="1.0" encoding="utf-8"?>
<sst xmlns="http://schemas.openxmlformats.org/spreadsheetml/2006/main" count="117" uniqueCount="98">
  <si>
    <t>Footnotes &amp; Explanations</t>
  </si>
  <si>
    <t>Type of Accounting Services Provided:</t>
  </si>
  <si>
    <t>Tax preparation and cost reporting</t>
  </si>
  <si>
    <t>Salaries Hours &amp; Benefits</t>
  </si>
  <si>
    <t>Line</t>
  </si>
  <si>
    <t>Acct</t>
  </si>
  <si>
    <t>Description</t>
  </si>
  <si>
    <t>Hours Incl Below</t>
  </si>
  <si>
    <t>FTEs</t>
  </si>
  <si>
    <t>Wages (GL)</t>
  </si>
  <si>
    <t>% Total</t>
  </si>
  <si>
    <t>PR Tax</t>
  </si>
  <si>
    <t>Work Comp</t>
  </si>
  <si>
    <t>Group Health</t>
  </si>
  <si>
    <t>Dental</t>
  </si>
  <si>
    <t>STD/Life</t>
  </si>
  <si>
    <t>Pension</t>
  </si>
  <si>
    <t>Other</t>
  </si>
  <si>
    <t>Totals</t>
  </si>
  <si>
    <t>Total Ben Incl Below</t>
  </si>
  <si>
    <t>Total Tax Incl Below</t>
  </si>
  <si>
    <t>L3.1</t>
  </si>
  <si>
    <t>Staff Development</t>
  </si>
  <si>
    <t>L3.5</t>
  </si>
  <si>
    <t>Plant Operations</t>
  </si>
  <si>
    <t>L3.18</t>
  </si>
  <si>
    <t>Dietary Staff</t>
  </si>
  <si>
    <t>L3.13</t>
  </si>
  <si>
    <t>Dietician</t>
  </si>
  <si>
    <t>L3.24</t>
  </si>
  <si>
    <t>Laundry Staff</t>
  </si>
  <si>
    <t>Housekeeping Staff</t>
  </si>
  <si>
    <t>L3.36</t>
  </si>
  <si>
    <t>Ward Clerks/Medical Records</t>
  </si>
  <si>
    <t>L3.40</t>
  </si>
  <si>
    <t>MMQ Nurses</t>
  </si>
  <si>
    <t>L3.48</t>
  </si>
  <si>
    <t>6540.0</t>
  </si>
  <si>
    <t>Social Service Staff</t>
  </si>
  <si>
    <t>L3.64</t>
  </si>
  <si>
    <t>7021.1</t>
  </si>
  <si>
    <t>Recreational Staff</t>
  </si>
  <si>
    <t>L2.1</t>
  </si>
  <si>
    <t>4110.1</t>
  </si>
  <si>
    <t>L2.7</t>
  </si>
  <si>
    <t>4140.1</t>
  </si>
  <si>
    <t>Clerical Staff</t>
  </si>
  <si>
    <t>L1.1</t>
  </si>
  <si>
    <t>6020.1</t>
  </si>
  <si>
    <t>DON</t>
  </si>
  <si>
    <t>L1.7</t>
  </si>
  <si>
    <t>RN</t>
  </si>
  <si>
    <t>L1.12</t>
  </si>
  <si>
    <t>LPN</t>
  </si>
  <si>
    <t>L1.17</t>
  </si>
  <si>
    <t>CNA</t>
  </si>
  <si>
    <t>L3.31</t>
  </si>
  <si>
    <t>QA</t>
  </si>
  <si>
    <t>L3.70</t>
  </si>
  <si>
    <t>RCA</t>
  </si>
  <si>
    <t>MDS/OBRA</t>
  </si>
  <si>
    <t>TB Amount</t>
  </si>
  <si>
    <t>Directly Assigned</t>
  </si>
  <si>
    <t>Remainder (Alloc Above)</t>
  </si>
  <si>
    <t xml:space="preserve">    Payroll Taxes</t>
  </si>
  <si>
    <t>612500.000</t>
  </si>
  <si>
    <t>Health Life</t>
  </si>
  <si>
    <t xml:space="preserve">    Group Health Insurance</t>
  </si>
  <si>
    <t>612600.000</t>
  </si>
  <si>
    <t xml:space="preserve">    Group Dental Insurance</t>
  </si>
  <si>
    <t>612700.000</t>
  </si>
  <si>
    <t xml:space="preserve">    Group Life/STD Insurance</t>
  </si>
  <si>
    <t>612800.000</t>
  </si>
  <si>
    <t xml:space="preserve">    Workers Comp. Insurance</t>
  </si>
  <si>
    <t>612900.000</t>
  </si>
  <si>
    <t xml:space="preserve">    Pension Expense</t>
  </si>
  <si>
    <t>613000.000</t>
  </si>
  <si>
    <t>Ben Other</t>
  </si>
  <si>
    <t xml:space="preserve">    Tuition &amp; Edu. Reimbursement</t>
  </si>
  <si>
    <t>613100.000</t>
  </si>
  <si>
    <t xml:space="preserve">    Employee Benefits - Other</t>
  </si>
  <si>
    <t>613300.000</t>
  </si>
  <si>
    <t>Total Health/Life</t>
  </si>
  <si>
    <t>Total Other</t>
  </si>
  <si>
    <t xml:space="preserve">    Salary - Administrator</t>
  </si>
  <si>
    <t>611000.000</t>
  </si>
  <si>
    <t xml:space="preserve">    Salary - Director of Nursing</t>
  </si>
  <si>
    <t>671000.000</t>
  </si>
  <si>
    <t>Total Salaries</t>
  </si>
  <si>
    <t>Southpointe Rehab</t>
  </si>
  <si>
    <t>#Staff</t>
  </si>
  <si>
    <t>QA Staff</t>
  </si>
  <si>
    <t>Administrative</t>
  </si>
  <si>
    <t>L3.60</t>
  </si>
  <si>
    <t>RPT</t>
  </si>
  <si>
    <t>Wages</t>
  </si>
  <si>
    <t>per Sch 5</t>
  </si>
  <si>
    <t>1/1/22 - 12/31/22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</si>
</sst>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b/>
      <u/>
      <sz val="11"/>
      <color theme="1"/>
      <name val="Calibri"/>
      <family val="2"/>
      <scheme val="minor"/>
    </font>
    <font>
      <b/>
      <u val="singleAccounting"/>
      <sz val="11"/>
      <color theme="1"/>
      <name val="Calibri"/>
      <family val="2"/>
      <scheme val="minor"/>
    </font>
    <font>
      <b/>
      <u/>
      <sz val="11"/>
      <color indexed="8"/>
      <name val="Calibri"/>
      <family val="2"/>
      <scheme val="minor"/>
    </font>
    <font>
      <sz val="10"/>
      <color rgb="FF000000"/>
      <name val="Times New Roman"/>
      <family val="1"/>
    </font>
    <font>
      <b/>
      <u val="singleAccounting"/>
      <sz val="11"/>
      <color indexed="8"/>
      <name val="Calibri"/>
      <family val="2"/>
      <scheme val="minor"/>
    </font>
    <font>
      <sz val="10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/>
      <diagonal/>
    </border>
  </borders>
  <cellStyleXfs count="8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8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4" fillId="0" borderId="0"/>
  </cellStyleXfs>
  <cellXfs count="51">
    <xf numFmtId="0" fontId="0" fillId="0" borderId="0" xfId="0"/>
    <xf numFmtId="0" fontId="2" fillId="0" borderId="0" xfId="1" applyFont="1"/>
    <xf numFmtId="0" fontId="1" fillId="0" borderId="0" xfId="1" applyAlignment="1">
      <alignment horizontal="left"/>
    </xf>
    <xf numFmtId="164" fontId="3" fillId="0" borderId="0" xfId="2" applyNumberFormat="1" applyFont="1"/>
    <xf numFmtId="164" fontId="1" fillId="0" borderId="0" xfId="3" applyNumberFormat="1" applyFont="1"/>
    <xf numFmtId="0" fontId="1" fillId="0" borderId="0" xfId="1"/>
    <xf numFmtId="49" fontId="5" fillId="0" borderId="0" xfId="1" applyNumberFormat="1" applyFont="1"/>
    <xf numFmtId="0" fontId="5" fillId="0" borderId="0" xfId="1" applyFont="1" applyAlignment="1">
      <alignment horizontal="left"/>
    </xf>
    <xf numFmtId="164" fontId="6" fillId="0" borderId="0" xfId="2" applyNumberFormat="1" applyFont="1" applyAlignment="1">
      <alignment horizontal="right" wrapText="1"/>
    </xf>
    <xf numFmtId="164" fontId="6" fillId="0" borderId="0" xfId="3" applyNumberFormat="1" applyFont="1" applyAlignment="1">
      <alignment horizontal="right"/>
    </xf>
    <xf numFmtId="0" fontId="5" fillId="0" borderId="0" xfId="1" applyFont="1"/>
    <xf numFmtId="164" fontId="5" fillId="0" borderId="0" xfId="2" applyNumberFormat="1" applyFont="1"/>
    <xf numFmtId="164" fontId="7" fillId="0" borderId="0" xfId="2" applyNumberFormat="1" applyFont="1"/>
    <xf numFmtId="164" fontId="7" fillId="0" borderId="0" xfId="2" applyNumberFormat="1" applyFont="1" applyAlignment="1">
      <alignment wrapText="1"/>
    </xf>
    <xf numFmtId="0" fontId="4" fillId="0" borderId="0" xfId="4" applyFont="1" applyAlignment="1">
      <alignment horizontal="center"/>
    </xf>
    <xf numFmtId="0" fontId="3" fillId="0" borderId="0" xfId="1" applyFont="1" applyAlignment="1">
      <alignment horizontal="center"/>
    </xf>
    <xf numFmtId="49" fontId="3" fillId="0" borderId="0" xfId="1" applyNumberFormat="1" applyFont="1" applyAlignment="1">
      <alignment horizontal="left"/>
    </xf>
    <xf numFmtId="164" fontId="3" fillId="0" borderId="0" xfId="2" applyNumberFormat="1" applyFont="1" applyFill="1"/>
    <xf numFmtId="164" fontId="3" fillId="0" borderId="0" xfId="3" applyNumberFormat="1" applyFont="1" applyFill="1"/>
    <xf numFmtId="10" fontId="3" fillId="0" borderId="0" xfId="5" applyNumberFormat="1" applyFont="1"/>
    <xf numFmtId="164" fontId="2" fillId="0" borderId="0" xfId="2" applyNumberFormat="1" applyFont="1"/>
    <xf numFmtId="164" fontId="1" fillId="0" borderId="0" xfId="1" applyNumberFormat="1"/>
    <xf numFmtId="165" fontId="3" fillId="0" borderId="0" xfId="2" quotePrefix="1" applyNumberFormat="1" applyFont="1" applyAlignment="1">
      <alignment horizontal="center"/>
    </xf>
    <xf numFmtId="0" fontId="3" fillId="0" borderId="0" xfId="1" quotePrefix="1" applyFont="1" applyAlignment="1">
      <alignment horizontal="center"/>
    </xf>
    <xf numFmtId="164" fontId="2" fillId="0" borderId="0" xfId="3" applyNumberFormat="1" applyFont="1"/>
    <xf numFmtId="10" fontId="2" fillId="0" borderId="0" xfId="1" applyNumberFormat="1" applyFont="1"/>
    <xf numFmtId="164" fontId="2" fillId="0" borderId="0" xfId="1" applyNumberFormat="1" applyFont="1"/>
    <xf numFmtId="164" fontId="9" fillId="0" borderId="0" xfId="3" applyNumberFormat="1" applyFont="1"/>
    <xf numFmtId="0" fontId="9" fillId="0" borderId="0" xfId="1" applyFont="1" applyAlignment="1">
      <alignment wrapText="1"/>
    </xf>
    <xf numFmtId="164" fontId="9" fillId="0" borderId="0" xfId="2" applyNumberFormat="1" applyFont="1" applyAlignment="1">
      <alignment wrapText="1"/>
    </xf>
    <xf numFmtId="164" fontId="10" fillId="0" borderId="0" xfId="4" applyNumberFormat="1" applyFont="1"/>
    <xf numFmtId="164" fontId="11" fillId="0" borderId="0" xfId="2" applyNumberFormat="1" applyFont="1"/>
    <xf numFmtId="164" fontId="12" fillId="0" borderId="0" xfId="3" applyNumberFormat="1" applyFont="1"/>
    <xf numFmtId="164" fontId="13" fillId="0" borderId="0" xfId="1" applyNumberFormat="1" applyFont="1"/>
    <xf numFmtId="164" fontId="3" fillId="0" borderId="0" xfId="3" applyNumberFormat="1" applyFont="1"/>
    <xf numFmtId="164" fontId="5" fillId="0" borderId="0" xfId="2" applyNumberFormat="1" applyFont="1" applyAlignment="1">
      <alignment horizontal="right"/>
    </xf>
    <xf numFmtId="164" fontId="7" fillId="0" borderId="0" xfId="2" applyNumberFormat="1" applyFont="1" applyAlignment="1">
      <alignment horizontal="right"/>
    </xf>
    <xf numFmtId="164" fontId="7" fillId="0" borderId="0" xfId="2" applyNumberFormat="1" applyFont="1" applyAlignment="1">
      <alignment horizontal="right" wrapText="1"/>
    </xf>
    <xf numFmtId="164" fontId="3" fillId="2" borderId="0" xfId="3" applyNumberFormat="1" applyFont="1" applyFill="1"/>
    <xf numFmtId="164" fontId="3" fillId="2" borderId="0" xfId="2" applyNumberFormat="1" applyFont="1" applyFill="1"/>
    <xf numFmtId="164" fontId="13" fillId="0" borderId="0" xfId="2" applyNumberFormat="1" applyFont="1"/>
    <xf numFmtId="164" fontId="3" fillId="0" borderId="1" xfId="2" applyNumberFormat="1" applyFont="1" applyBorder="1"/>
    <xf numFmtId="165" fontId="3" fillId="0" borderId="0" xfId="3" applyNumberFormat="1" applyFont="1"/>
    <xf numFmtId="165" fontId="6" fillId="0" borderId="0" xfId="3" applyNumberFormat="1" applyFont="1" applyAlignment="1">
      <alignment horizontal="right" wrapText="1"/>
    </xf>
    <xf numFmtId="165" fontId="3" fillId="2" borderId="0" xfId="3" applyNumberFormat="1" applyFont="1" applyFill="1"/>
    <xf numFmtId="165" fontId="3" fillId="0" borderId="0" xfId="3" applyNumberFormat="1" applyFont="1" applyFill="1"/>
    <xf numFmtId="165" fontId="2" fillId="0" borderId="0" xfId="3" applyNumberFormat="1" applyFont="1"/>
    <xf numFmtId="165" fontId="1" fillId="0" borderId="0" xfId="3" applyNumberFormat="1" applyFont="1"/>
    <xf numFmtId="0" fontId="5" fillId="0" borderId="0" xfId="1" applyFont="1" applyAlignment="1">
      <alignment horizontal="right"/>
    </xf>
    <xf numFmtId="165" fontId="1" fillId="0" borderId="0" xfId="3" applyNumberFormat="1" applyFont="1" applyAlignment="1">
      <alignment horizontal="left"/>
    </xf>
    <xf numFmtId="164" fontId="15" fillId="0" borderId="0" xfId="6" applyNumberFormat="1" applyFont="1"/>
  </cellXfs>
  <cellStyles count="8">
    <cellStyle name="Comma" xfId="6" builtinId="3"/>
    <cellStyle name="Comma 2" xfId="2" xr:uid="{3DCCCE74-E871-4192-8077-A0D1FFACD993}"/>
    <cellStyle name="Comma 3" xfId="3" xr:uid="{8566FD57-120F-401A-BD53-BF02DA58352E}"/>
    <cellStyle name="Normal" xfId="0" builtinId="0"/>
    <cellStyle name="Normal 2" xfId="1" xr:uid="{C5EC47CD-38AF-4F15-83D6-12A611D06CA2}"/>
    <cellStyle name="Normal 2 2" xfId="4" xr:uid="{4DD3A046-49AA-4507-8379-361C0F24A7C6}"/>
    <cellStyle name="Normal 2 3" xfId="7" xr:uid="{B08DA97D-D1F6-496B-83BD-960105B05463}"/>
    <cellStyle name="Percent 2" xfId="5" xr:uid="{E3C706AD-2D1D-4EF1-8B39-B404E3A298B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SSQL224\Workpapers\data\5000's\5060\2005-6-30\Financials%2020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Sheet"/>
      <sheetName val="Balance Sheet"/>
      <sheetName val="Income Statement"/>
      <sheetName val="Supporting Schedule"/>
      <sheetName val="Combined"/>
      <sheetName val="Trial Balance"/>
      <sheetName val="Cash Flow"/>
    </sheetNames>
    <sheetDataSet>
      <sheetData sheetId="0"/>
      <sheetData sheetId="1"/>
      <sheetData sheetId="2"/>
      <sheetData sheetId="3"/>
      <sheetData sheetId="4"/>
      <sheetData sheetId="5">
        <row r="7">
          <cell r="A7" t="str">
            <v>10</v>
          </cell>
          <cell r="C7">
            <v>0</v>
          </cell>
        </row>
        <row r="8">
          <cell r="A8" t="str">
            <v>10</v>
          </cell>
          <cell r="C8">
            <v>-4940</v>
          </cell>
        </row>
        <row r="9">
          <cell r="A9" t="str">
            <v>10</v>
          </cell>
          <cell r="C9">
            <v>0</v>
          </cell>
        </row>
        <row r="10">
          <cell r="A10" t="str">
            <v>10</v>
          </cell>
          <cell r="C10">
            <v>318137</v>
          </cell>
        </row>
        <row r="11">
          <cell r="A11" t="str">
            <v>10</v>
          </cell>
          <cell r="C11">
            <v>4598</v>
          </cell>
        </row>
        <row r="12">
          <cell r="A12" t="str">
            <v>10</v>
          </cell>
          <cell r="C12">
            <v>-7889</v>
          </cell>
        </row>
        <row r="13">
          <cell r="A13" t="str">
            <v>10</v>
          </cell>
          <cell r="C13">
            <v>2862</v>
          </cell>
        </row>
        <row r="14">
          <cell r="A14" t="str">
            <v>10</v>
          </cell>
          <cell r="C14">
            <v>5860</v>
          </cell>
        </row>
        <row r="15">
          <cell r="A15" t="str">
            <v>10</v>
          </cell>
          <cell r="C15">
            <v>0</v>
          </cell>
        </row>
        <row r="16">
          <cell r="A16" t="str">
            <v>10</v>
          </cell>
          <cell r="C16">
            <v>0</v>
          </cell>
        </row>
        <row r="17">
          <cell r="A17" t="str">
            <v>10</v>
          </cell>
          <cell r="C17">
            <v>0</v>
          </cell>
        </row>
        <row r="18">
          <cell r="A18" t="str">
            <v>10</v>
          </cell>
          <cell r="C18">
            <v>0</v>
          </cell>
        </row>
        <row r="19">
          <cell r="A19" t="str">
            <v>10</v>
          </cell>
          <cell r="C19">
            <v>0</v>
          </cell>
        </row>
        <row r="20">
          <cell r="A20" t="str">
            <v>30</v>
          </cell>
          <cell r="C20">
            <v>251230</v>
          </cell>
        </row>
        <row r="21">
          <cell r="A21" t="str">
            <v>20</v>
          </cell>
          <cell r="C21">
            <v>22100</v>
          </cell>
        </row>
        <row r="22">
          <cell r="C22">
            <v>0</v>
          </cell>
        </row>
        <row r="23">
          <cell r="C23">
            <v>0</v>
          </cell>
        </row>
        <row r="24">
          <cell r="C24">
            <v>0</v>
          </cell>
        </row>
        <row r="25">
          <cell r="A25" t="str">
            <v>10</v>
          </cell>
          <cell r="C25">
            <v>0</v>
          </cell>
        </row>
        <row r="26">
          <cell r="A26" t="str">
            <v>40</v>
          </cell>
          <cell r="C26">
            <v>48281</v>
          </cell>
        </row>
        <row r="27">
          <cell r="A27" t="str">
            <v>50</v>
          </cell>
          <cell r="C27">
            <v>-22054</v>
          </cell>
        </row>
        <row r="28">
          <cell r="A28" t="str">
            <v>60</v>
          </cell>
          <cell r="C28">
            <v>-500785</v>
          </cell>
        </row>
        <row r="29">
          <cell r="C29">
            <v>0</v>
          </cell>
        </row>
        <row r="30">
          <cell r="A30" t="str">
            <v>60</v>
          </cell>
          <cell r="C30">
            <v>-25954</v>
          </cell>
        </row>
        <row r="31">
          <cell r="A31" t="str">
            <v>60</v>
          </cell>
          <cell r="C31">
            <v>-2</v>
          </cell>
        </row>
        <row r="32">
          <cell r="C32">
            <v>0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0</v>
          </cell>
        </row>
        <row r="36">
          <cell r="C36">
            <v>0</v>
          </cell>
        </row>
        <row r="37">
          <cell r="C37">
            <v>0</v>
          </cell>
        </row>
        <row r="38">
          <cell r="C38">
            <v>0</v>
          </cell>
        </row>
        <row r="39">
          <cell r="C39">
            <v>0</v>
          </cell>
        </row>
        <row r="40">
          <cell r="C40">
            <v>0</v>
          </cell>
        </row>
        <row r="41">
          <cell r="C41">
            <v>0</v>
          </cell>
        </row>
        <row r="42">
          <cell r="A42" t="str">
            <v>70</v>
          </cell>
          <cell r="C42">
            <v>730</v>
          </cell>
        </row>
        <row r="43">
          <cell r="A43" t="str">
            <v>70</v>
          </cell>
          <cell r="C43">
            <v>853</v>
          </cell>
        </row>
        <row r="44">
          <cell r="A44" t="str">
            <v>70</v>
          </cell>
          <cell r="C44">
            <v>0</v>
          </cell>
        </row>
        <row r="45">
          <cell r="A45" t="str">
            <v>70</v>
          </cell>
          <cell r="C45">
            <v>-4913</v>
          </cell>
        </row>
        <row r="46">
          <cell r="A46" t="str">
            <v>70</v>
          </cell>
          <cell r="C46">
            <v>1328</v>
          </cell>
        </row>
        <row r="47">
          <cell r="A47" t="str">
            <v>70</v>
          </cell>
          <cell r="C47">
            <v>-2548</v>
          </cell>
        </row>
        <row r="48">
          <cell r="C48">
            <v>0</v>
          </cell>
        </row>
        <row r="49">
          <cell r="A49" t="str">
            <v>80</v>
          </cell>
          <cell r="C49">
            <v>-181924</v>
          </cell>
        </row>
        <row r="50">
          <cell r="A50" t="str">
            <v>250</v>
          </cell>
          <cell r="C50">
            <v>-9600</v>
          </cell>
        </row>
        <row r="51">
          <cell r="A51" t="str">
            <v>100</v>
          </cell>
          <cell r="C51">
            <v>-451875</v>
          </cell>
        </row>
        <row r="52">
          <cell r="A52" t="str">
            <v>90</v>
          </cell>
          <cell r="C52">
            <v>-649000</v>
          </cell>
        </row>
        <row r="53">
          <cell r="A53" t="str">
            <v>90</v>
          </cell>
          <cell r="C53">
            <v>368490</v>
          </cell>
        </row>
        <row r="54">
          <cell r="A54" t="str">
            <v>230</v>
          </cell>
          <cell r="C54">
            <v>12000</v>
          </cell>
        </row>
        <row r="55">
          <cell r="A55" t="str">
            <v>240</v>
          </cell>
          <cell r="C55">
            <v>0</v>
          </cell>
        </row>
        <row r="56">
          <cell r="A56" t="str">
            <v>240</v>
          </cell>
          <cell r="C56">
            <v>33</v>
          </cell>
        </row>
        <row r="57">
          <cell r="A57" t="str">
            <v>190</v>
          </cell>
          <cell r="C57">
            <v>4811</v>
          </cell>
        </row>
        <row r="58">
          <cell r="A58" t="str">
            <v>220</v>
          </cell>
          <cell r="C58">
            <v>6300</v>
          </cell>
        </row>
        <row r="59">
          <cell r="A59" t="str">
            <v>240</v>
          </cell>
          <cell r="C59">
            <v>1900</v>
          </cell>
        </row>
        <row r="60">
          <cell r="A60" t="str">
            <v>260</v>
          </cell>
          <cell r="C60">
            <v>111277</v>
          </cell>
        </row>
        <row r="61">
          <cell r="A61" t="str">
            <v>130</v>
          </cell>
          <cell r="C61">
            <v>17287</v>
          </cell>
        </row>
        <row r="62">
          <cell r="A62" t="str">
            <v>170</v>
          </cell>
          <cell r="C62">
            <v>9188</v>
          </cell>
        </row>
        <row r="63">
          <cell r="A63" t="str">
            <v>240</v>
          </cell>
          <cell r="C63">
            <v>0</v>
          </cell>
        </row>
        <row r="64">
          <cell r="A64" t="str">
            <v>180</v>
          </cell>
          <cell r="C64">
            <v>16311</v>
          </cell>
        </row>
        <row r="65">
          <cell r="A65" t="str">
            <v>240</v>
          </cell>
          <cell r="C65">
            <v>2329</v>
          </cell>
        </row>
        <row r="66">
          <cell r="A66" t="str">
            <v>240</v>
          </cell>
          <cell r="C66">
            <v>28155</v>
          </cell>
        </row>
        <row r="67">
          <cell r="A67" t="str">
            <v>110</v>
          </cell>
          <cell r="C67">
            <v>0</v>
          </cell>
        </row>
        <row r="68">
          <cell r="A68" t="str">
            <v>120</v>
          </cell>
          <cell r="C68">
            <v>94639</v>
          </cell>
        </row>
        <row r="69">
          <cell r="A69">
            <v>110</v>
          </cell>
          <cell r="C69">
            <v>169390</v>
          </cell>
        </row>
        <row r="70">
          <cell r="A70">
            <v>110</v>
          </cell>
          <cell r="C70">
            <v>19800</v>
          </cell>
        </row>
        <row r="71">
          <cell r="A71">
            <v>115</v>
          </cell>
          <cell r="C71">
            <v>57600</v>
          </cell>
        </row>
        <row r="72">
          <cell r="A72">
            <v>160</v>
          </cell>
          <cell r="C72">
            <v>13150</v>
          </cell>
        </row>
        <row r="73">
          <cell r="A73">
            <v>210</v>
          </cell>
          <cell r="C73">
            <v>215400</v>
          </cell>
        </row>
        <row r="74">
          <cell r="A74">
            <v>140</v>
          </cell>
          <cell r="C74">
            <v>7200</v>
          </cell>
        </row>
        <row r="75">
          <cell r="A75">
            <v>240</v>
          </cell>
          <cell r="C75">
            <v>0</v>
          </cell>
        </row>
        <row r="76">
          <cell r="A76">
            <v>200</v>
          </cell>
          <cell r="C76">
            <v>50245</v>
          </cell>
        </row>
        <row r="77">
          <cell r="C77">
            <v>0</v>
          </cell>
        </row>
        <row r="78">
          <cell r="C78">
            <v>0</v>
          </cell>
        </row>
        <row r="79">
          <cell r="C79">
            <v>0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70D644-46DF-4BD9-A9A8-A804632ED8E6}">
  <dimension ref="A1:E3"/>
  <sheetViews>
    <sheetView workbookViewId="0">
      <selection activeCell="I12" sqref="I12"/>
    </sheetView>
  </sheetViews>
  <sheetFormatPr defaultRowHeight="14.4" x14ac:dyDescent="0.3"/>
  <sheetData>
    <row r="1" spans="1:5" x14ac:dyDescent="0.3">
      <c r="A1" t="s">
        <v>0</v>
      </c>
    </row>
    <row r="3" spans="1:5" x14ac:dyDescent="0.3">
      <c r="A3" t="s">
        <v>1</v>
      </c>
      <c r="E3" t="s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D1C81A-492F-4037-B457-D7C5A89E5AF5}">
  <sheetPr codeName="Sheet4"/>
  <dimension ref="A1:S41"/>
  <sheetViews>
    <sheetView tabSelected="1" topLeftCell="D16" workbookViewId="0">
      <selection activeCell="P33" sqref="P33"/>
    </sheetView>
  </sheetViews>
  <sheetFormatPr defaultColWidth="8.8984375" defaultRowHeight="14.4" x14ac:dyDescent="0.3"/>
  <cols>
    <col min="1" max="1" width="10.69921875" style="5" customWidth="1"/>
    <col min="2" max="2" width="13.19921875" style="2" customWidth="1"/>
    <col min="3" max="3" width="27.8984375" style="3" bestFit="1" customWidth="1"/>
    <col min="4" max="4" width="11.796875" style="42" bestFit="1" customWidth="1"/>
    <col min="5" max="5" width="11.796875" style="4" bestFit="1" customWidth="1"/>
    <col min="6" max="6" width="8.59765625" style="4" customWidth="1"/>
    <col min="7" max="7" width="12.69921875" style="5" customWidth="1"/>
    <col min="8" max="8" width="10.8984375" style="3" customWidth="1"/>
    <col min="9" max="9" width="12.3984375" style="3" bestFit="1" customWidth="1"/>
    <col min="10" max="10" width="13.69921875" style="3" bestFit="1" customWidth="1"/>
    <col min="11" max="11" width="13.59765625" style="3" bestFit="1" customWidth="1"/>
    <col min="12" max="12" width="9.59765625" style="3" bestFit="1" customWidth="1"/>
    <col min="13" max="13" width="9.09765625" style="3" bestFit="1" customWidth="1"/>
    <col min="14" max="14" width="9.59765625" style="3" customWidth="1"/>
    <col min="15" max="15" width="10.59765625" style="3" bestFit="1" customWidth="1"/>
    <col min="16" max="17" width="12.69921875" style="3" customWidth="1"/>
    <col min="18" max="18" width="9" style="5" bestFit="1" customWidth="1"/>
    <col min="19" max="16384" width="8.8984375" style="5"/>
  </cols>
  <sheetData>
    <row r="1" spans="1:19" x14ac:dyDescent="0.3">
      <c r="A1" s="1" t="s">
        <v>89</v>
      </c>
    </row>
    <row r="2" spans="1:19" x14ac:dyDescent="0.3">
      <c r="A2" s="1" t="s">
        <v>3</v>
      </c>
    </row>
    <row r="3" spans="1:19" x14ac:dyDescent="0.3">
      <c r="A3" s="1" t="s">
        <v>97</v>
      </c>
    </row>
    <row r="4" spans="1:19" ht="44.9" x14ac:dyDescent="0.45">
      <c r="A4" s="6" t="s">
        <v>4</v>
      </c>
      <c r="B4" s="6" t="s">
        <v>5</v>
      </c>
      <c r="C4" s="7" t="s">
        <v>6</v>
      </c>
      <c r="D4" s="43" t="s">
        <v>7</v>
      </c>
      <c r="E4" s="8" t="s">
        <v>8</v>
      </c>
      <c r="F4" s="8" t="s">
        <v>90</v>
      </c>
      <c r="G4" s="9" t="s">
        <v>9</v>
      </c>
      <c r="H4" s="10" t="s">
        <v>10</v>
      </c>
      <c r="I4" s="11" t="s">
        <v>11</v>
      </c>
      <c r="J4" s="11" t="s">
        <v>12</v>
      </c>
      <c r="K4" s="11" t="s">
        <v>13</v>
      </c>
      <c r="L4" s="12" t="s">
        <v>14</v>
      </c>
      <c r="M4" s="12" t="s">
        <v>15</v>
      </c>
      <c r="N4" s="12" t="s">
        <v>16</v>
      </c>
      <c r="O4" s="12" t="s">
        <v>17</v>
      </c>
      <c r="P4" s="12" t="s">
        <v>18</v>
      </c>
      <c r="Q4" s="13" t="s">
        <v>19</v>
      </c>
      <c r="R4" s="13" t="s">
        <v>20</v>
      </c>
    </row>
    <row r="5" spans="1:19" x14ac:dyDescent="0.3">
      <c r="A5" s="14" t="s">
        <v>21</v>
      </c>
      <c r="B5" s="15">
        <v>4306.1000000000004</v>
      </c>
      <c r="C5" s="16" t="s">
        <v>22</v>
      </c>
      <c r="D5" s="44">
        <v>632</v>
      </c>
      <c r="E5" s="45">
        <f>D5/2080</f>
        <v>0.30384615384615382</v>
      </c>
      <c r="F5" s="18">
        <f>ROUNDUP(E5,0)</f>
        <v>1</v>
      </c>
      <c r="G5" s="18">
        <v>35468.080000000002</v>
      </c>
      <c r="H5" s="19">
        <f t="shared" ref="H5:H24" si="0">G5/$G$25</f>
        <v>6.4564749965441807E-3</v>
      </c>
      <c r="I5" s="3">
        <f t="shared" ref="I5:I15" si="1">H5*PRTax</f>
        <v>3203.9296446871012</v>
      </c>
      <c r="J5" s="3">
        <f t="shared" ref="J5:J15" si="2">H5*WorkC</f>
        <v>1082.3014216959498</v>
      </c>
      <c r="K5" s="3">
        <f t="shared" ref="K5:K15" si="3">H5*Health</f>
        <v>1496.7765773473525</v>
      </c>
      <c r="L5" s="3">
        <f t="shared" ref="L5:L15" si="4">H5*Dental</f>
        <v>59.70315342254397</v>
      </c>
      <c r="M5" s="3">
        <f t="shared" ref="M5:M15" si="5">H5*Life</f>
        <v>65.749965080557416</v>
      </c>
      <c r="N5" s="3">
        <f t="shared" ref="N5:N15" si="6">H5*Penwion</f>
        <v>140.29603800215673</v>
      </c>
      <c r="O5" s="3">
        <f t="shared" ref="O5:O15" si="7">H5*(Other+Other2)</f>
        <v>39.857176013416499</v>
      </c>
      <c r="P5" s="20">
        <f>SUM(I5:O5)</f>
        <v>6088.6139762490784</v>
      </c>
      <c r="Q5" s="3">
        <f>SUM(K5:O5)</f>
        <v>1802.3829098660269</v>
      </c>
      <c r="R5" s="3">
        <f>SUM(I5:J5)</f>
        <v>4286.2310663830513</v>
      </c>
      <c r="S5" s="21"/>
    </row>
    <row r="6" spans="1:19" x14ac:dyDescent="0.3">
      <c r="A6" s="14" t="s">
        <v>23</v>
      </c>
      <c r="B6" s="15">
        <v>5105.1000000000004</v>
      </c>
      <c r="C6" s="16" t="s">
        <v>24</v>
      </c>
      <c r="D6" s="44">
        <v>6281.4</v>
      </c>
      <c r="E6" s="45">
        <f t="shared" ref="E6:E24" si="8">D6/2080</f>
        <v>3.0199038461538459</v>
      </c>
      <c r="F6" s="18">
        <f t="shared" ref="F6:F24" si="9">ROUNDUP(E6,0)</f>
        <v>4</v>
      </c>
      <c r="G6" s="18">
        <v>179172.93</v>
      </c>
      <c r="H6" s="19">
        <f t="shared" si="0"/>
        <v>3.2615961805729565E-2</v>
      </c>
      <c r="I6" s="3">
        <f t="shared" si="1"/>
        <v>16185.185720581627</v>
      </c>
      <c r="J6" s="3">
        <f t="shared" si="2"/>
        <v>5467.4263977195515</v>
      </c>
      <c r="K6" s="3">
        <f t="shared" si="3"/>
        <v>7561.2168721480484</v>
      </c>
      <c r="L6" s="3">
        <f t="shared" si="4"/>
        <v>301.60045113681741</v>
      </c>
      <c r="M6" s="3">
        <f t="shared" si="5"/>
        <v>332.1469301659734</v>
      </c>
      <c r="N6" s="3">
        <f t="shared" si="6"/>
        <v>708.72886821721863</v>
      </c>
      <c r="O6" s="3">
        <f t="shared" si="7"/>
        <v>201.3451815787478</v>
      </c>
      <c r="P6" s="20">
        <f t="shared" ref="P6:P24" si="10">SUM(I6:O6)</f>
        <v>30757.650421547987</v>
      </c>
      <c r="Q6" s="3">
        <f t="shared" ref="Q6:Q24" si="11">SUM(K6:O6)</f>
        <v>9105.0383032468053</v>
      </c>
      <c r="R6" s="3">
        <f t="shared" ref="R6:R24" si="12">SUM(I6:J6)</f>
        <v>21652.612118301178</v>
      </c>
    </row>
    <row r="7" spans="1:19" x14ac:dyDescent="0.3">
      <c r="A7" s="14" t="s">
        <v>25</v>
      </c>
      <c r="B7" s="15">
        <v>5205.1000000000004</v>
      </c>
      <c r="C7" s="16" t="s">
        <v>26</v>
      </c>
      <c r="D7" s="44">
        <v>23691.8</v>
      </c>
      <c r="E7" s="45">
        <f t="shared" si="8"/>
        <v>11.390288461538461</v>
      </c>
      <c r="F7" s="18">
        <f t="shared" si="9"/>
        <v>12</v>
      </c>
      <c r="G7" s="18">
        <v>409863.17</v>
      </c>
      <c r="H7" s="19">
        <f t="shared" si="0"/>
        <v>7.4609939672780054E-2</v>
      </c>
      <c r="I7" s="3">
        <f t="shared" si="1"/>
        <v>37024.072366714769</v>
      </c>
      <c r="J7" s="3">
        <f t="shared" si="2"/>
        <v>12506.893285224594</v>
      </c>
      <c r="K7" s="3">
        <f t="shared" si="3"/>
        <v>17296.498507202421</v>
      </c>
      <c r="L7" s="3">
        <f t="shared" si="4"/>
        <v>689.91960435299063</v>
      </c>
      <c r="M7" s="3">
        <f t="shared" si="5"/>
        <v>759.79554335353271</v>
      </c>
      <c r="N7" s="3">
        <f t="shared" si="6"/>
        <v>1621.2374302190708</v>
      </c>
      <c r="O7" s="3">
        <f t="shared" si="7"/>
        <v>460.58282568740253</v>
      </c>
      <c r="P7" s="20">
        <f t="shared" si="10"/>
        <v>70358.999562754805</v>
      </c>
      <c r="Q7" s="3">
        <f t="shared" si="11"/>
        <v>20828.033910815415</v>
      </c>
      <c r="R7" s="3">
        <f t="shared" si="12"/>
        <v>49530.965651939361</v>
      </c>
    </row>
    <row r="8" spans="1:19" x14ac:dyDescent="0.3">
      <c r="A8" s="14" t="s">
        <v>27</v>
      </c>
      <c r="B8" s="15">
        <v>5231.1000000000004</v>
      </c>
      <c r="C8" s="16" t="s">
        <v>28</v>
      </c>
      <c r="D8" s="44">
        <v>1276.8</v>
      </c>
      <c r="E8" s="45">
        <f t="shared" si="8"/>
        <v>0.61384615384615382</v>
      </c>
      <c r="F8" s="18">
        <f t="shared" si="9"/>
        <v>1</v>
      </c>
      <c r="G8" s="18">
        <v>59478.25</v>
      </c>
      <c r="H8" s="19">
        <f t="shared" si="0"/>
        <v>1.0827195437790935E-2</v>
      </c>
      <c r="I8" s="3">
        <f t="shared" si="1"/>
        <v>5372.8346273356374</v>
      </c>
      <c r="J8" s="3">
        <f t="shared" si="2"/>
        <v>1814.9669938431152</v>
      </c>
      <c r="K8" s="3">
        <f t="shared" si="3"/>
        <v>2510.0217283148727</v>
      </c>
      <c r="L8" s="3">
        <f t="shared" si="4"/>
        <v>100.11929275716153</v>
      </c>
      <c r="M8" s="3">
        <f t="shared" si="5"/>
        <v>110.25950264442463</v>
      </c>
      <c r="N8" s="3">
        <f t="shared" si="6"/>
        <v>235.26965153743248</v>
      </c>
      <c r="O8" s="3">
        <f t="shared" si="7"/>
        <v>66.838551148525383</v>
      </c>
      <c r="P8" s="20">
        <f t="shared" si="10"/>
        <v>10210.310347581168</v>
      </c>
      <c r="Q8" s="3">
        <f t="shared" si="11"/>
        <v>3022.5087264024164</v>
      </c>
      <c r="R8" s="3">
        <f t="shared" si="12"/>
        <v>7187.8016211787526</v>
      </c>
    </row>
    <row r="9" spans="1:19" x14ac:dyDescent="0.3">
      <c r="A9" s="14" t="s">
        <v>29</v>
      </c>
      <c r="B9" s="15">
        <v>5310.1</v>
      </c>
      <c r="C9" s="16" t="s">
        <v>30</v>
      </c>
      <c r="D9" s="44">
        <v>8449.5</v>
      </c>
      <c r="E9" s="45">
        <f t="shared" si="8"/>
        <v>4.0622596153846153</v>
      </c>
      <c r="F9" s="18">
        <f t="shared" si="9"/>
        <v>5</v>
      </c>
      <c r="G9" s="18">
        <v>155345.35999999999</v>
      </c>
      <c r="H9" s="19">
        <f t="shared" si="0"/>
        <v>2.8278481177136015E-2</v>
      </c>
      <c r="I9" s="3">
        <f t="shared" si="1"/>
        <v>14032.775500353831</v>
      </c>
      <c r="J9" s="3">
        <f t="shared" si="2"/>
        <v>4740.3328283309693</v>
      </c>
      <c r="K9" s="3">
        <f t="shared" si="3"/>
        <v>6555.677562687134</v>
      </c>
      <c r="L9" s="3">
        <f t="shared" si="4"/>
        <v>261.49168101460032</v>
      </c>
      <c r="M9" s="3">
        <f t="shared" si="5"/>
        <v>287.97589256104698</v>
      </c>
      <c r="N9" s="3">
        <f t="shared" si="6"/>
        <v>614.47753952338883</v>
      </c>
      <c r="O9" s="3">
        <f t="shared" si="7"/>
        <v>174.56900278750783</v>
      </c>
      <c r="P9" s="20">
        <f t="shared" si="10"/>
        <v>26667.300007258476</v>
      </c>
      <c r="Q9" s="3">
        <f t="shared" si="11"/>
        <v>7894.1916785736785</v>
      </c>
      <c r="R9" s="3">
        <f t="shared" si="12"/>
        <v>18773.108328684801</v>
      </c>
    </row>
    <row r="10" spans="1:19" x14ac:dyDescent="0.3">
      <c r="A10" s="14" t="s">
        <v>29</v>
      </c>
      <c r="B10" s="15">
        <v>5410.1</v>
      </c>
      <c r="C10" s="16" t="s">
        <v>31</v>
      </c>
      <c r="D10" s="44">
        <v>14125.5</v>
      </c>
      <c r="E10" s="45">
        <f t="shared" si="8"/>
        <v>6.7911057692307688</v>
      </c>
      <c r="F10" s="18">
        <f t="shared" si="9"/>
        <v>7</v>
      </c>
      <c r="G10" s="18">
        <v>212051.51</v>
      </c>
      <c r="H10" s="19">
        <f t="shared" si="0"/>
        <v>3.8601054026449651E-2</v>
      </c>
      <c r="I10" s="3">
        <f t="shared" si="1"/>
        <v>19155.198676941727</v>
      </c>
      <c r="J10" s="3">
        <f t="shared" si="2"/>
        <v>6470.709740864826</v>
      </c>
      <c r="K10" s="3">
        <f t="shared" si="3"/>
        <v>8948.714826377347</v>
      </c>
      <c r="L10" s="3">
        <f t="shared" si="4"/>
        <v>356.94471860366048</v>
      </c>
      <c r="M10" s="3">
        <f t="shared" si="5"/>
        <v>393.09653575213184</v>
      </c>
      <c r="N10" s="3">
        <f t="shared" si="6"/>
        <v>838.78198947827786</v>
      </c>
      <c r="O10" s="3">
        <f t="shared" si="7"/>
        <v>238.29241272661926</v>
      </c>
      <c r="P10" s="20">
        <f t="shared" si="10"/>
        <v>36401.738900744596</v>
      </c>
      <c r="Q10" s="3">
        <f t="shared" si="11"/>
        <v>10775.830482938039</v>
      </c>
      <c r="R10" s="3">
        <f t="shared" si="12"/>
        <v>25625.908417806553</v>
      </c>
    </row>
    <row r="11" spans="1:19" x14ac:dyDescent="0.3">
      <c r="A11" s="14" t="s">
        <v>56</v>
      </c>
      <c r="B11" s="15" t="s">
        <v>57</v>
      </c>
      <c r="C11" s="16" t="s">
        <v>91</v>
      </c>
      <c r="D11" s="44">
        <v>1064.3</v>
      </c>
      <c r="E11" s="45">
        <f t="shared" si="8"/>
        <v>0.51168269230769226</v>
      </c>
      <c r="F11" s="18">
        <f t="shared" si="9"/>
        <v>1</v>
      </c>
      <c r="G11" s="18">
        <v>52359.29</v>
      </c>
      <c r="H11" s="19">
        <f t="shared" si="0"/>
        <v>9.5312869126777024E-3</v>
      </c>
      <c r="I11" s="3">
        <f t="shared" ref="I11" si="13">H11*PRTax</f>
        <v>4729.7593048670487</v>
      </c>
      <c r="J11" s="3">
        <f t="shared" ref="J11" si="14">H11*WorkC</f>
        <v>1597.7333423740592</v>
      </c>
      <c r="K11" s="3">
        <f t="shared" ref="K11" si="15">H11*Health</f>
        <v>2209.5968791808709</v>
      </c>
      <c r="L11" s="3">
        <f t="shared" ref="L11" si="16">H11*Dental</f>
        <v>88.136000707268977</v>
      </c>
      <c r="M11" s="3">
        <f t="shared" ref="M11" si="17">H11*Life</f>
        <v>97.062527465337268</v>
      </c>
      <c r="N11" s="3">
        <f t="shared" ref="N11" si="18">H11*Penwion</f>
        <v>207.11019428189925</v>
      </c>
      <c r="O11" s="3">
        <f t="shared" ref="O11" si="19">H11*(Other+Other2)</f>
        <v>58.83863568221112</v>
      </c>
      <c r="P11" s="20">
        <f t="shared" ref="P11" si="20">SUM(I11:O11)</f>
        <v>8988.2368845586952</v>
      </c>
      <c r="Q11" s="3">
        <f t="shared" si="11"/>
        <v>2660.7442373175872</v>
      </c>
      <c r="R11" s="3">
        <f t="shared" si="12"/>
        <v>6327.492647241108</v>
      </c>
    </row>
    <row r="12" spans="1:19" x14ac:dyDescent="0.3">
      <c r="A12" s="14" t="s">
        <v>32</v>
      </c>
      <c r="B12" s="15">
        <v>6505.1</v>
      </c>
      <c r="C12" s="16" t="s">
        <v>33</v>
      </c>
      <c r="D12" s="44"/>
      <c r="E12" s="45">
        <f t="shared" si="8"/>
        <v>0</v>
      </c>
      <c r="F12" s="18">
        <f t="shared" si="9"/>
        <v>0</v>
      </c>
      <c r="G12" s="18">
        <v>0</v>
      </c>
      <c r="H12" s="19">
        <f t="shared" si="0"/>
        <v>0</v>
      </c>
      <c r="I12" s="3">
        <f t="shared" si="1"/>
        <v>0</v>
      </c>
      <c r="J12" s="3">
        <f t="shared" si="2"/>
        <v>0</v>
      </c>
      <c r="K12" s="3">
        <f t="shared" si="3"/>
        <v>0</v>
      </c>
      <c r="L12" s="3">
        <f t="shared" si="4"/>
        <v>0</v>
      </c>
      <c r="M12" s="3">
        <f t="shared" si="5"/>
        <v>0</v>
      </c>
      <c r="N12" s="3">
        <f t="shared" si="6"/>
        <v>0</v>
      </c>
      <c r="O12" s="3">
        <f t="shared" si="7"/>
        <v>0</v>
      </c>
      <c r="P12" s="20">
        <f t="shared" si="10"/>
        <v>0</v>
      </c>
      <c r="Q12" s="3">
        <f t="shared" si="11"/>
        <v>0</v>
      </c>
      <c r="R12" s="3">
        <f t="shared" si="12"/>
        <v>0</v>
      </c>
    </row>
    <row r="13" spans="1:19" x14ac:dyDescent="0.3">
      <c r="A13" s="14" t="s">
        <v>34</v>
      </c>
      <c r="B13" s="15">
        <v>6506.1</v>
      </c>
      <c r="C13" s="16" t="s">
        <v>35</v>
      </c>
      <c r="D13" s="44">
        <v>1365.2</v>
      </c>
      <c r="E13" s="45">
        <f t="shared" si="8"/>
        <v>0.65634615384615391</v>
      </c>
      <c r="F13" s="18">
        <f t="shared" si="9"/>
        <v>1</v>
      </c>
      <c r="G13" s="18">
        <v>54670.05</v>
      </c>
      <c r="H13" s="19">
        <f t="shared" si="0"/>
        <v>9.9519289142468437E-3</v>
      </c>
      <c r="I13" s="3">
        <f t="shared" si="1"/>
        <v>4938.4966389927522</v>
      </c>
      <c r="J13" s="3">
        <f t="shared" si="2"/>
        <v>1668.245725147475</v>
      </c>
      <c r="K13" s="3">
        <f t="shared" si="3"/>
        <v>2307.1124888183581</v>
      </c>
      <c r="L13" s="3">
        <f t="shared" si="4"/>
        <v>92.025685708618852</v>
      </c>
      <c r="M13" s="3">
        <f t="shared" si="5"/>
        <v>101.34616473325673</v>
      </c>
      <c r="N13" s="3">
        <f t="shared" si="6"/>
        <v>216.25053886141592</v>
      </c>
      <c r="O13" s="3">
        <f t="shared" si="7"/>
        <v>61.435347092717755</v>
      </c>
      <c r="P13" s="20">
        <f t="shared" si="10"/>
        <v>9384.9125893545952</v>
      </c>
      <c r="Q13" s="3">
        <f t="shared" si="11"/>
        <v>2778.1702252143668</v>
      </c>
      <c r="R13" s="3">
        <f t="shared" si="12"/>
        <v>6606.7423641402274</v>
      </c>
    </row>
    <row r="14" spans="1:19" x14ac:dyDescent="0.3">
      <c r="A14" s="14" t="s">
        <v>36</v>
      </c>
      <c r="B14" s="22" t="s">
        <v>37</v>
      </c>
      <c r="C14" s="16" t="s">
        <v>38</v>
      </c>
      <c r="D14" s="44">
        <v>8815.7999999999993</v>
      </c>
      <c r="E14" s="45">
        <f t="shared" si="8"/>
        <v>4.2383653846153839</v>
      </c>
      <c r="F14" s="18">
        <f t="shared" si="9"/>
        <v>5</v>
      </c>
      <c r="G14" s="18">
        <v>380100.92000000004</v>
      </c>
      <c r="H14" s="19">
        <f t="shared" si="0"/>
        <v>6.9192132366438786E-2</v>
      </c>
      <c r="I14" s="3">
        <f t="shared" si="1"/>
        <v>34335.566107915634</v>
      </c>
      <c r="J14" s="3">
        <f t="shared" si="2"/>
        <v>11598.704133517758</v>
      </c>
      <c r="K14" s="3">
        <f t="shared" si="3"/>
        <v>16040.511752657034</v>
      </c>
      <c r="L14" s="3">
        <f t="shared" si="4"/>
        <v>639.82103183510685</v>
      </c>
      <c r="M14" s="3">
        <f t="shared" si="5"/>
        <v>704.62292340289503</v>
      </c>
      <c r="N14" s="3">
        <f t="shared" si="6"/>
        <v>1503.5111321778552</v>
      </c>
      <c r="O14" s="3">
        <f t="shared" si="7"/>
        <v>427.13756344582356</v>
      </c>
      <c r="P14" s="20">
        <f t="shared" si="10"/>
        <v>65249.874644952099</v>
      </c>
      <c r="Q14" s="3">
        <f t="shared" si="11"/>
        <v>19315.604403518715</v>
      </c>
      <c r="R14" s="3">
        <f t="shared" si="12"/>
        <v>45934.270241433391</v>
      </c>
    </row>
    <row r="15" spans="1:19" x14ac:dyDescent="0.3">
      <c r="A15" s="14" t="s">
        <v>39</v>
      </c>
      <c r="B15" s="23" t="s">
        <v>40</v>
      </c>
      <c r="C15" s="16" t="s">
        <v>41</v>
      </c>
      <c r="D15" s="44">
        <v>9224.9</v>
      </c>
      <c r="E15" s="45">
        <f t="shared" si="8"/>
        <v>4.4350480769230769</v>
      </c>
      <c r="F15" s="18">
        <f t="shared" si="9"/>
        <v>5</v>
      </c>
      <c r="G15" s="18">
        <v>184167.38</v>
      </c>
      <c r="H15" s="19">
        <f t="shared" si="0"/>
        <v>3.3525132574107504E-2</v>
      </c>
      <c r="I15" s="3">
        <f t="shared" si="1"/>
        <v>16636.348185928146</v>
      </c>
      <c r="J15" s="3">
        <f t="shared" si="2"/>
        <v>5619.8310481993449</v>
      </c>
      <c r="K15" s="3">
        <f t="shared" si="3"/>
        <v>7771.9859855799714</v>
      </c>
      <c r="L15" s="3">
        <f t="shared" si="4"/>
        <v>310.00757141542357</v>
      </c>
      <c r="M15" s="3">
        <f t="shared" si="5"/>
        <v>341.40553432770395</v>
      </c>
      <c r="N15" s="3">
        <f t="shared" si="6"/>
        <v>728.48470352039465</v>
      </c>
      <c r="O15" s="3">
        <f t="shared" si="7"/>
        <v>206.95768365780617</v>
      </c>
      <c r="P15" s="20">
        <f t="shared" si="10"/>
        <v>31615.02071262879</v>
      </c>
      <c r="Q15" s="3">
        <f t="shared" si="11"/>
        <v>9358.8414785012992</v>
      </c>
      <c r="R15" s="3">
        <f t="shared" si="12"/>
        <v>22256.179234127492</v>
      </c>
    </row>
    <row r="16" spans="1:19" x14ac:dyDescent="0.3">
      <c r="A16" s="14" t="s">
        <v>42</v>
      </c>
      <c r="B16" s="23" t="s">
        <v>43</v>
      </c>
      <c r="C16" s="2" t="s">
        <v>92</v>
      </c>
      <c r="D16" s="44">
        <v>2696.2</v>
      </c>
      <c r="E16" s="45">
        <f t="shared" si="8"/>
        <v>1.2962499999999999</v>
      </c>
      <c r="F16" s="18">
        <f t="shared" si="9"/>
        <v>2</v>
      </c>
      <c r="G16" s="18">
        <v>170799.35999999999</v>
      </c>
      <c r="H16" s="19">
        <f t="shared" si="0"/>
        <v>3.1091668826329143E-2</v>
      </c>
      <c r="I16" s="3">
        <f t="shared" ref="I16" si="21">H16*PRTax</f>
        <v>15428.778011033701</v>
      </c>
      <c r="J16" s="3">
        <f t="shared" ref="J16" si="22">H16*WorkC</f>
        <v>5211.9085711083972</v>
      </c>
      <c r="K16" s="3">
        <f t="shared" ref="K16" si="23">H16*Health</f>
        <v>7207.8466461651788</v>
      </c>
      <c r="L16" s="3">
        <f t="shared" ref="L16" si="24">H16*Dental</f>
        <v>287.50528347044212</v>
      </c>
      <c r="M16" s="3">
        <f t="shared" ref="M16" si="25">H16*Life</f>
        <v>316.62418590974067</v>
      </c>
      <c r="N16" s="3">
        <f t="shared" ref="N16" si="26">H16*Penwion</f>
        <v>675.60672867840731</v>
      </c>
      <c r="O16" s="3">
        <f t="shared" ref="O16" si="27">H16*(Other+Other2)</f>
        <v>191.93540091538333</v>
      </c>
      <c r="P16" s="20">
        <f t="shared" ref="P16" si="28">SUM(I16:O16)</f>
        <v>29320.204827281254</v>
      </c>
      <c r="Q16" s="3">
        <f>SUM(K16:O16)+SUM(K39:O39)</f>
        <v>8679.518245139152</v>
      </c>
      <c r="R16" s="3">
        <f>SUM(I16:J16)+SUM(I39:J39)</f>
        <v>20640.686582142098</v>
      </c>
    </row>
    <row r="17" spans="1:18" x14ac:dyDescent="0.3">
      <c r="A17" s="14" t="s">
        <v>44</v>
      </c>
      <c r="B17" s="23" t="s">
        <v>45</v>
      </c>
      <c r="C17" s="16" t="s">
        <v>46</v>
      </c>
      <c r="D17" s="44">
        <v>15493.8</v>
      </c>
      <c r="E17" s="45">
        <f t="shared" si="8"/>
        <v>7.4489423076923069</v>
      </c>
      <c r="F17" s="18">
        <f t="shared" si="9"/>
        <v>8</v>
      </c>
      <c r="G17" s="18">
        <v>373428.02999999997</v>
      </c>
      <c r="H17" s="19">
        <f t="shared" si="0"/>
        <v>6.7977424735247857E-2</v>
      </c>
      <c r="I17" s="3">
        <f t="shared" ref="I17:I24" si="29">H17*PRTax</f>
        <v>33732.785520786689</v>
      </c>
      <c r="J17" s="3">
        <f t="shared" ref="J17:J24" si="30">H17*WorkC</f>
        <v>11395.082219565245</v>
      </c>
      <c r="K17" s="3">
        <f t="shared" ref="K17:K24" si="31">H17*Health</f>
        <v>15758.91135434916</v>
      </c>
      <c r="L17" s="3">
        <f t="shared" ref="L17:L24" si="32">H17*Dental</f>
        <v>628.58860607533165</v>
      </c>
      <c r="M17" s="3">
        <f t="shared" ref="M17:M24" si="33">H17*Life</f>
        <v>692.25286321112799</v>
      </c>
      <c r="N17" s="3">
        <f t="shared" ref="N17:N24" si="34">H17*Penwion</f>
        <v>1477.1161305588155</v>
      </c>
      <c r="O17" s="3">
        <f t="shared" ref="O17:O24" si="35">H17*(Other+Other2)</f>
        <v>419.63891814987943</v>
      </c>
      <c r="P17" s="20">
        <f t="shared" si="10"/>
        <v>64104.375612696254</v>
      </c>
      <c r="Q17" s="3">
        <f t="shared" si="11"/>
        <v>18976.507872344311</v>
      </c>
      <c r="R17" s="3">
        <f t="shared" si="12"/>
        <v>45127.867740351932</v>
      </c>
    </row>
    <row r="18" spans="1:18" x14ac:dyDescent="0.3">
      <c r="A18" s="14" t="s">
        <v>47</v>
      </c>
      <c r="B18" s="23" t="s">
        <v>48</v>
      </c>
      <c r="C18" s="16" t="s">
        <v>49</v>
      </c>
      <c r="D18" s="44">
        <v>6762.5</v>
      </c>
      <c r="E18" s="45">
        <f t="shared" si="8"/>
        <v>3.2512019230769229</v>
      </c>
      <c r="F18" s="18">
        <f t="shared" si="9"/>
        <v>4</v>
      </c>
      <c r="G18" s="18">
        <v>336514.55</v>
      </c>
      <c r="H18" s="19">
        <f t="shared" si="0"/>
        <v>6.1257834595171666E-2</v>
      </c>
      <c r="I18" s="3">
        <f t="shared" si="29"/>
        <v>30398.288901275162</v>
      </c>
      <c r="J18" s="3">
        <f t="shared" si="30"/>
        <v>10268.67470374412</v>
      </c>
      <c r="K18" s="3">
        <f t="shared" si="31"/>
        <v>14201.137935196504</v>
      </c>
      <c r="L18" s="3">
        <f t="shared" si="32"/>
        <v>566.45242165824436</v>
      </c>
      <c r="M18" s="3">
        <f t="shared" si="33"/>
        <v>623.82344664835227</v>
      </c>
      <c r="N18" s="3">
        <f t="shared" si="34"/>
        <v>1331.1027294141286</v>
      </c>
      <c r="O18" s="3">
        <f t="shared" si="35"/>
        <v>378.1574771012597</v>
      </c>
      <c r="P18" s="20">
        <f t="shared" si="10"/>
        <v>57767.637615037769</v>
      </c>
      <c r="Q18" s="3">
        <f>SUM(K18:O18)+SUM(K40:O40)</f>
        <v>17100.674010018491</v>
      </c>
      <c r="R18" s="3">
        <f>SUM(I18:J18)+SUM(I40:J40)</f>
        <v>40666.963605019278</v>
      </c>
    </row>
    <row r="19" spans="1:18" x14ac:dyDescent="0.3">
      <c r="A19" s="14" t="s">
        <v>50</v>
      </c>
      <c r="B19" s="15">
        <v>6030.1</v>
      </c>
      <c r="C19" s="16" t="s">
        <v>51</v>
      </c>
      <c r="D19" s="44">
        <v>4101.6000000000004</v>
      </c>
      <c r="E19" s="45">
        <f t="shared" si="8"/>
        <v>1.9719230769230771</v>
      </c>
      <c r="F19" s="18">
        <f t="shared" si="9"/>
        <v>2</v>
      </c>
      <c r="G19" s="18">
        <v>188876.12</v>
      </c>
      <c r="H19" s="19">
        <f t="shared" si="0"/>
        <v>3.4382293775819785E-2</v>
      </c>
      <c r="I19" s="3">
        <f t="shared" si="29"/>
        <v>17061.701677719182</v>
      </c>
      <c r="J19" s="3">
        <f t="shared" si="30"/>
        <v>5763.5173147352434</v>
      </c>
      <c r="K19" s="3">
        <f t="shared" si="31"/>
        <v>7970.6979468933141</v>
      </c>
      <c r="L19" s="3">
        <f t="shared" si="32"/>
        <v>317.93375819088106</v>
      </c>
      <c r="M19" s="3">
        <f t="shared" si="33"/>
        <v>350.13449542662505</v>
      </c>
      <c r="N19" s="3">
        <f t="shared" si="34"/>
        <v>747.11039642461367</v>
      </c>
      <c r="O19" s="3">
        <f t="shared" si="35"/>
        <v>212.24911975982846</v>
      </c>
      <c r="P19" s="20">
        <f t="shared" si="10"/>
        <v>32423.344709149686</v>
      </c>
      <c r="Q19" s="3">
        <f t="shared" si="11"/>
        <v>9598.1257166952619</v>
      </c>
      <c r="R19" s="3">
        <f t="shared" si="12"/>
        <v>22825.218992454425</v>
      </c>
    </row>
    <row r="20" spans="1:18" x14ac:dyDescent="0.3">
      <c r="A20" s="14" t="s">
        <v>52</v>
      </c>
      <c r="B20" s="15">
        <v>6041.1</v>
      </c>
      <c r="C20" s="16" t="s">
        <v>53</v>
      </c>
      <c r="D20" s="44">
        <v>26375.9</v>
      </c>
      <c r="E20" s="45">
        <f t="shared" si="8"/>
        <v>12.680721153846154</v>
      </c>
      <c r="F20" s="18">
        <f t="shared" si="9"/>
        <v>13</v>
      </c>
      <c r="G20" s="18">
        <v>1104214.5799999998</v>
      </c>
      <c r="H20" s="19">
        <f t="shared" si="0"/>
        <v>0.20100704144654949</v>
      </c>
      <c r="I20" s="3">
        <f t="shared" si="29"/>
        <v>99746.753333073459</v>
      </c>
      <c r="J20" s="3">
        <f t="shared" si="30"/>
        <v>33694.888750431259</v>
      </c>
      <c r="K20" s="3">
        <f t="shared" si="31"/>
        <v>46598.59004799369</v>
      </c>
      <c r="L20" s="3">
        <f t="shared" si="32"/>
        <v>1858.7161323970722</v>
      </c>
      <c r="M20" s="3">
        <f t="shared" si="33"/>
        <v>2046.969277063838</v>
      </c>
      <c r="N20" s="3">
        <f t="shared" si="34"/>
        <v>4367.7845171832114</v>
      </c>
      <c r="O20" s="3">
        <f t="shared" si="35"/>
        <v>1240.8586783282537</v>
      </c>
      <c r="P20" s="20">
        <f t="shared" si="10"/>
        <v>189554.56073647077</v>
      </c>
      <c r="Q20" s="3">
        <f t="shared" si="11"/>
        <v>56112.918652966058</v>
      </c>
      <c r="R20" s="3">
        <f t="shared" si="12"/>
        <v>133441.6420835047</v>
      </c>
    </row>
    <row r="21" spans="1:18" x14ac:dyDescent="0.3">
      <c r="A21" s="14" t="s">
        <v>54</v>
      </c>
      <c r="B21" s="15">
        <v>6051.1</v>
      </c>
      <c r="C21" s="16" t="s">
        <v>55</v>
      </c>
      <c r="D21" s="44">
        <v>57823.6</v>
      </c>
      <c r="E21" s="45">
        <f t="shared" si="8"/>
        <v>27.799807692307692</v>
      </c>
      <c r="F21" s="18">
        <f t="shared" si="9"/>
        <v>28</v>
      </c>
      <c r="G21" s="18">
        <v>1422599.95</v>
      </c>
      <c r="H21" s="19">
        <f t="shared" si="0"/>
        <v>0.25896470875389932</v>
      </c>
      <c r="I21" s="3">
        <f t="shared" si="29"/>
        <v>128507.38332425628</v>
      </c>
      <c r="J21" s="3">
        <f t="shared" si="30"/>
        <v>43410.35512465256</v>
      </c>
      <c r="K21" s="3">
        <f t="shared" si="31"/>
        <v>60034.66452358049</v>
      </c>
      <c r="L21" s="3">
        <f t="shared" si="32"/>
        <v>2394.6518411414822</v>
      </c>
      <c r="M21" s="3">
        <f t="shared" si="33"/>
        <v>2637.1852391249463</v>
      </c>
      <c r="N21" s="3">
        <f t="shared" si="34"/>
        <v>5627.1762285149425</v>
      </c>
      <c r="O21" s="3">
        <f t="shared" si="35"/>
        <v>1598.6435297266589</v>
      </c>
      <c r="P21" s="20">
        <f t="shared" si="10"/>
        <v>244210.05981099737</v>
      </c>
      <c r="Q21" s="3">
        <f t="shared" si="11"/>
        <v>72292.321362088522</v>
      </c>
      <c r="R21" s="3">
        <f t="shared" si="12"/>
        <v>171917.73844890884</v>
      </c>
    </row>
    <row r="22" spans="1:18" x14ac:dyDescent="0.3">
      <c r="A22" s="14" t="s">
        <v>93</v>
      </c>
      <c r="B22" s="15">
        <v>7014.3</v>
      </c>
      <c r="C22" s="16" t="s">
        <v>94</v>
      </c>
      <c r="D22" s="44"/>
      <c r="E22" s="45">
        <f t="shared" si="8"/>
        <v>0</v>
      </c>
      <c r="F22" s="18">
        <f t="shared" si="9"/>
        <v>0</v>
      </c>
      <c r="G22" s="18">
        <v>0</v>
      </c>
      <c r="H22" s="19">
        <f t="shared" si="0"/>
        <v>0</v>
      </c>
      <c r="I22" s="3">
        <f t="shared" ref="I22" si="36">H22*PRTax</f>
        <v>0</v>
      </c>
      <c r="J22" s="3">
        <f t="shared" ref="J22" si="37">H22*WorkC</f>
        <v>0</v>
      </c>
      <c r="K22" s="3">
        <f t="shared" ref="K22" si="38">H22*Health</f>
        <v>0</v>
      </c>
      <c r="L22" s="3">
        <f t="shared" ref="L22" si="39">H22*Dental</f>
        <v>0</v>
      </c>
      <c r="M22" s="3">
        <f t="shared" ref="M22" si="40">H22*Life</f>
        <v>0</v>
      </c>
      <c r="N22" s="3">
        <f t="shared" ref="N22" si="41">H22*Penwion</f>
        <v>0</v>
      </c>
      <c r="O22" s="3">
        <f t="shared" ref="O22" si="42">H22*(Other+Other2)</f>
        <v>0</v>
      </c>
      <c r="P22" s="20">
        <f t="shared" ref="P22:P23" si="43">SUM(I22:O22)</f>
        <v>0</v>
      </c>
      <c r="Q22" s="3">
        <f t="shared" si="11"/>
        <v>0</v>
      </c>
      <c r="R22" s="3">
        <f t="shared" si="12"/>
        <v>0</v>
      </c>
    </row>
    <row r="23" spans="1:18" x14ac:dyDescent="0.3">
      <c r="A23" s="14" t="s">
        <v>58</v>
      </c>
      <c r="B23" s="15" t="s">
        <v>59</v>
      </c>
      <c r="C23" s="16" t="s">
        <v>59</v>
      </c>
      <c r="D23" s="44">
        <v>1345.6</v>
      </c>
      <c r="E23" s="45">
        <f t="shared" si="8"/>
        <v>0.64692307692307693</v>
      </c>
      <c r="F23" s="18">
        <f t="shared" si="9"/>
        <v>1</v>
      </c>
      <c r="G23" s="18">
        <v>24632.27</v>
      </c>
      <c r="H23" s="19">
        <f t="shared" si="0"/>
        <v>4.4839651698971392E-3</v>
      </c>
      <c r="I23" s="3">
        <f t="shared" ref="I23" si="44">H23*PRTax</f>
        <v>2225.1009941597272</v>
      </c>
      <c r="J23" s="3">
        <f t="shared" ref="J23" si="45">H23*WorkC</f>
        <v>751.6488301762738</v>
      </c>
      <c r="K23" s="3">
        <f t="shared" ref="K23" si="46">H23*Health</f>
        <v>1039.4981849284165</v>
      </c>
      <c r="L23" s="3">
        <f t="shared" ref="L23" si="47">H23*Dental</f>
        <v>41.463315605342245</v>
      </c>
      <c r="M23" s="3">
        <f t="shared" ref="M23" si="48">H23*Life</f>
        <v>45.66277318520941</v>
      </c>
      <c r="N23" s="3">
        <f t="shared" ref="N23" si="49">H23*Penwion</f>
        <v>97.434365998931582</v>
      </c>
      <c r="O23" s="3">
        <f t="shared" ref="O23" si="50">H23*(Other+Other2)</f>
        <v>27.68045862646072</v>
      </c>
      <c r="P23" s="20">
        <f t="shared" si="43"/>
        <v>4228.4889226803616</v>
      </c>
      <c r="Q23" s="3">
        <f t="shared" si="11"/>
        <v>1251.7390983443604</v>
      </c>
      <c r="R23" s="3">
        <f t="shared" si="12"/>
        <v>2976.749824336001</v>
      </c>
    </row>
    <row r="24" spans="1:18" x14ac:dyDescent="0.3">
      <c r="A24" s="14" t="s">
        <v>34</v>
      </c>
      <c r="B24" s="15">
        <v>6508.1</v>
      </c>
      <c r="C24" s="16" t="s">
        <v>60</v>
      </c>
      <c r="D24" s="44">
        <v>3757.8</v>
      </c>
      <c r="E24" s="45">
        <f t="shared" si="8"/>
        <v>1.8066346153846156</v>
      </c>
      <c r="F24" s="18">
        <f t="shared" si="9"/>
        <v>2</v>
      </c>
      <c r="G24" s="18">
        <v>149670.63</v>
      </c>
      <c r="H24" s="19">
        <f t="shared" si="0"/>
        <v>2.724547481318457E-2</v>
      </c>
      <c r="I24" s="3">
        <f t="shared" si="29"/>
        <v>13520.161463377623</v>
      </c>
      <c r="J24" s="3">
        <f t="shared" si="30"/>
        <v>4567.1695686693074</v>
      </c>
      <c r="K24" s="3">
        <f t="shared" si="31"/>
        <v>6316.20018057989</v>
      </c>
      <c r="L24" s="3">
        <f t="shared" si="32"/>
        <v>251.93945050701399</v>
      </c>
      <c r="M24" s="3">
        <f t="shared" si="33"/>
        <v>277.45619994330201</v>
      </c>
      <c r="N24" s="3">
        <f t="shared" si="34"/>
        <v>592.03081740784216</v>
      </c>
      <c r="O24" s="3">
        <f t="shared" si="35"/>
        <v>168.19203757149913</v>
      </c>
      <c r="P24" s="20">
        <f t="shared" si="10"/>
        <v>25693.149718056477</v>
      </c>
      <c r="Q24" s="3">
        <f t="shared" si="11"/>
        <v>7605.8186860095466</v>
      </c>
      <c r="R24" s="3">
        <f t="shared" si="12"/>
        <v>18087.331032046932</v>
      </c>
    </row>
    <row r="25" spans="1:18" x14ac:dyDescent="0.3">
      <c r="B25" s="5"/>
      <c r="C25" s="2"/>
      <c r="D25" s="46">
        <f t="shared" ref="D25:R25" si="51">SUM(D5:D24)</f>
        <v>193284.2</v>
      </c>
      <c r="E25" s="46">
        <f>SUM(E5:E24)</f>
        <v>92.925096153846141</v>
      </c>
      <c r="F25" s="24">
        <f>SUM(F5:F24)</f>
        <v>102</v>
      </c>
      <c r="G25" s="24">
        <f t="shared" si="51"/>
        <v>5493412.4299999988</v>
      </c>
      <c r="H25" s="25">
        <f t="shared" si="51"/>
        <v>1.0000000000000002</v>
      </c>
      <c r="I25" s="26">
        <f t="shared" si="51"/>
        <v>496235.12000000011</v>
      </c>
      <c r="J25" s="26">
        <f t="shared" si="51"/>
        <v>167630.39000000004</v>
      </c>
      <c r="K25" s="26">
        <f t="shared" si="51"/>
        <v>231825.66000000003</v>
      </c>
      <c r="L25" s="26">
        <f t="shared" si="51"/>
        <v>9247.0200000000023</v>
      </c>
      <c r="M25" s="26">
        <f t="shared" si="51"/>
        <v>10183.570000000003</v>
      </c>
      <c r="N25" s="26">
        <f t="shared" si="51"/>
        <v>21729.510000000002</v>
      </c>
      <c r="O25" s="26">
        <f t="shared" si="51"/>
        <v>6173.2100000000009</v>
      </c>
      <c r="P25" s="26">
        <f t="shared" si="51"/>
        <v>943024.48000000021</v>
      </c>
      <c r="Q25" s="26">
        <f t="shared" si="51"/>
        <v>279158.97000000009</v>
      </c>
      <c r="R25" s="26">
        <f t="shared" si="51"/>
        <v>663865.51000000013</v>
      </c>
    </row>
    <row r="26" spans="1:18" x14ac:dyDescent="0.3">
      <c r="F26" s="4" t="s">
        <v>96</v>
      </c>
      <c r="G26" s="50">
        <v>5493412.4299999988</v>
      </c>
    </row>
    <row r="27" spans="1:18" x14ac:dyDescent="0.3">
      <c r="G27" s="21">
        <f>G26-G25</f>
        <v>0</v>
      </c>
    </row>
    <row r="28" spans="1:18" ht="32.15" x14ac:dyDescent="0.45">
      <c r="B28" s="5"/>
      <c r="C28" s="5"/>
      <c r="D28" s="47"/>
      <c r="E28" s="27" t="s">
        <v>61</v>
      </c>
      <c r="F28" s="28" t="s">
        <v>62</v>
      </c>
      <c r="G28" s="29" t="s">
        <v>63</v>
      </c>
    </row>
    <row r="29" spans="1:18" x14ac:dyDescent="0.3">
      <c r="B29" s="5" t="s">
        <v>11</v>
      </c>
      <c r="C29" s="5" t="s">
        <v>64</v>
      </c>
      <c r="D29" s="47" t="s">
        <v>65</v>
      </c>
      <c r="E29" s="18">
        <v>496235.12</v>
      </c>
      <c r="F29" s="17">
        <f>I41</f>
        <v>0</v>
      </c>
      <c r="G29" s="30">
        <f t="shared" ref="G29:G36" si="52">E29-F29</f>
        <v>496235.12</v>
      </c>
    </row>
    <row r="30" spans="1:18" x14ac:dyDescent="0.3">
      <c r="B30" s="5" t="s">
        <v>66</v>
      </c>
      <c r="C30" s="5" t="s">
        <v>67</v>
      </c>
      <c r="D30" s="47" t="s">
        <v>68</v>
      </c>
      <c r="E30" s="18">
        <v>231825.66</v>
      </c>
      <c r="F30" s="17">
        <f>K41</f>
        <v>0</v>
      </c>
      <c r="G30" s="30">
        <f t="shared" si="52"/>
        <v>231825.66</v>
      </c>
    </row>
    <row r="31" spans="1:18" x14ac:dyDescent="0.3">
      <c r="B31" s="5" t="s">
        <v>14</v>
      </c>
      <c r="C31" s="5" t="s">
        <v>69</v>
      </c>
      <c r="D31" s="47" t="s">
        <v>70</v>
      </c>
      <c r="E31" s="18">
        <v>9247.02</v>
      </c>
      <c r="F31" s="17">
        <f>L41</f>
        <v>0</v>
      </c>
      <c r="G31" s="30">
        <f t="shared" si="52"/>
        <v>9247.02</v>
      </c>
    </row>
    <row r="32" spans="1:18" x14ac:dyDescent="0.3">
      <c r="B32" s="5" t="s">
        <v>66</v>
      </c>
      <c r="C32" s="5" t="s">
        <v>71</v>
      </c>
      <c r="D32" s="47" t="s">
        <v>72</v>
      </c>
      <c r="E32" s="18">
        <v>10183.57</v>
      </c>
      <c r="F32" s="17">
        <f>M41</f>
        <v>0</v>
      </c>
      <c r="G32" s="30">
        <f t="shared" si="52"/>
        <v>10183.57</v>
      </c>
    </row>
    <row r="33" spans="2:18" x14ac:dyDescent="0.3">
      <c r="B33" s="5" t="s">
        <v>12</v>
      </c>
      <c r="C33" s="5" t="s">
        <v>73</v>
      </c>
      <c r="D33" s="47" t="s">
        <v>74</v>
      </c>
      <c r="E33" s="18">
        <v>167630.39000000001</v>
      </c>
      <c r="F33" s="17">
        <f>J41</f>
        <v>0</v>
      </c>
      <c r="G33" s="30">
        <f t="shared" si="52"/>
        <v>167630.39000000001</v>
      </c>
    </row>
    <row r="34" spans="2:18" x14ac:dyDescent="0.3">
      <c r="B34" s="5" t="s">
        <v>16</v>
      </c>
      <c r="C34" s="5" t="s">
        <v>75</v>
      </c>
      <c r="D34" s="47" t="s">
        <v>76</v>
      </c>
      <c r="E34" s="18">
        <v>21729.51</v>
      </c>
      <c r="F34" s="17">
        <f>N41</f>
        <v>0</v>
      </c>
      <c r="G34" s="30">
        <f t="shared" si="52"/>
        <v>21729.51</v>
      </c>
    </row>
    <row r="35" spans="2:18" x14ac:dyDescent="0.3">
      <c r="B35" s="5" t="s">
        <v>77</v>
      </c>
      <c r="C35" s="5" t="s">
        <v>78</v>
      </c>
      <c r="D35" s="47" t="s">
        <v>79</v>
      </c>
      <c r="E35" s="18">
        <v>0</v>
      </c>
      <c r="F35" s="17"/>
      <c r="G35" s="30">
        <f t="shared" si="52"/>
        <v>0</v>
      </c>
    </row>
    <row r="36" spans="2:18" x14ac:dyDescent="0.3">
      <c r="B36" s="5" t="s">
        <v>77</v>
      </c>
      <c r="C36" s="5" t="s">
        <v>80</v>
      </c>
      <c r="D36" s="47" t="s">
        <v>81</v>
      </c>
      <c r="E36" s="18">
        <v>6173.21</v>
      </c>
      <c r="F36" s="17">
        <f>O41</f>
        <v>0</v>
      </c>
      <c r="G36" s="30">
        <f t="shared" si="52"/>
        <v>6173.21</v>
      </c>
      <c r="H36" s="31">
        <f>SUM(G35:G36)</f>
        <v>6173.21</v>
      </c>
    </row>
    <row r="37" spans="2:18" x14ac:dyDescent="0.3">
      <c r="B37" s="5"/>
      <c r="C37" s="5"/>
      <c r="D37" s="47"/>
      <c r="E37" s="32">
        <f>SUM(E29:E36)</f>
        <v>943024.48</v>
      </c>
      <c r="F37" s="3"/>
      <c r="G37" s="33">
        <f>SUM(G29:G36)</f>
        <v>943024.48</v>
      </c>
    </row>
    <row r="38" spans="2:18" ht="28.8" hidden="1" x14ac:dyDescent="0.3">
      <c r="B38" s="5"/>
      <c r="C38" s="2"/>
      <c r="E38" s="34"/>
      <c r="F38" s="5"/>
      <c r="G38" s="48" t="s">
        <v>95</v>
      </c>
      <c r="H38" s="5"/>
      <c r="I38" s="35" t="s">
        <v>11</v>
      </c>
      <c r="J38" s="35" t="s">
        <v>12</v>
      </c>
      <c r="K38" s="35" t="s">
        <v>13</v>
      </c>
      <c r="L38" s="36" t="s">
        <v>14</v>
      </c>
      <c r="M38" s="36" t="s">
        <v>15</v>
      </c>
      <c r="N38" s="36" t="s">
        <v>16</v>
      </c>
      <c r="O38" s="36" t="s">
        <v>17</v>
      </c>
      <c r="P38" s="36" t="s">
        <v>18</v>
      </c>
      <c r="Q38" s="37" t="s">
        <v>82</v>
      </c>
      <c r="R38" s="37" t="s">
        <v>83</v>
      </c>
    </row>
    <row r="39" spans="2:18" hidden="1" x14ac:dyDescent="0.3">
      <c r="B39" s="5" t="s">
        <v>43</v>
      </c>
      <c r="C39" s="3" t="s">
        <v>84</v>
      </c>
      <c r="D39" s="49" t="s">
        <v>85</v>
      </c>
      <c r="E39" s="2"/>
      <c r="F39" s="2"/>
      <c r="G39" s="38"/>
      <c r="H39" s="5"/>
      <c r="I39" s="39"/>
      <c r="J39" s="39"/>
      <c r="K39" s="39"/>
      <c r="L39" s="39"/>
      <c r="M39" s="39"/>
      <c r="N39" s="39"/>
      <c r="O39" s="39"/>
      <c r="P39" s="40">
        <f>SUM(I39:O39)</f>
        <v>0</v>
      </c>
      <c r="Q39" s="3">
        <f t="shared" ref="Q39:Q40" si="53">SUM(K39,M39)</f>
        <v>0</v>
      </c>
      <c r="R39" s="3">
        <f t="shared" ref="R39:R40" si="54">SUM(O39,L39)</f>
        <v>0</v>
      </c>
    </row>
    <row r="40" spans="2:18" hidden="1" x14ac:dyDescent="0.3">
      <c r="B40" s="5" t="s">
        <v>48</v>
      </c>
      <c r="C40" s="3" t="s">
        <v>86</v>
      </c>
      <c r="D40" s="49" t="s">
        <v>87</v>
      </c>
      <c r="E40" s="2"/>
      <c r="F40" s="2"/>
      <c r="G40" s="38"/>
      <c r="H40" s="5"/>
      <c r="I40" s="39"/>
      <c r="J40" s="39"/>
      <c r="K40" s="39"/>
      <c r="L40" s="39"/>
      <c r="M40" s="39"/>
      <c r="N40" s="39"/>
      <c r="O40" s="39"/>
      <c r="P40" s="40">
        <f>SUM(I40:O40)</f>
        <v>0</v>
      </c>
      <c r="Q40" s="3">
        <f t="shared" si="53"/>
        <v>0</v>
      </c>
      <c r="R40" s="3">
        <f t="shared" si="54"/>
        <v>0</v>
      </c>
    </row>
    <row r="41" spans="2:18" hidden="1" x14ac:dyDescent="0.3">
      <c r="B41" s="5"/>
      <c r="C41" s="20" t="s">
        <v>88</v>
      </c>
      <c r="D41" s="49"/>
      <c r="E41" s="2"/>
      <c r="F41" s="2"/>
      <c r="G41" s="24">
        <f>SUM(G39:G40,G25)</f>
        <v>5493412.4299999988</v>
      </c>
      <c r="H41" s="5"/>
      <c r="I41" s="41">
        <f>SUM(I39:I40)</f>
        <v>0</v>
      </c>
      <c r="J41" s="41">
        <f t="shared" ref="J41:O41" si="55">SUM(J39:J40)</f>
        <v>0</v>
      </c>
      <c r="K41" s="41">
        <f t="shared" si="55"/>
        <v>0</v>
      </c>
      <c r="L41" s="41">
        <f t="shared" si="55"/>
        <v>0</v>
      </c>
      <c r="M41" s="41">
        <f t="shared" si="55"/>
        <v>0</v>
      </c>
      <c r="N41" s="41">
        <f t="shared" si="55"/>
        <v>0</v>
      </c>
      <c r="O41" s="41">
        <f t="shared" si="55"/>
        <v>0</v>
      </c>
      <c r="R41" s="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73926AF-4573-4706-A84A-ADD2591BA061}"/>
</file>

<file path=customXml/itemProps2.xml><?xml version="1.0" encoding="utf-8"?>
<ds:datastoreItem xmlns:ds="http://schemas.openxmlformats.org/officeDocument/2006/customXml" ds:itemID="{E57738B4-D5A8-4719-AE59-0C6A6A81C658}"/>
</file>

<file path=customXml/itemProps3.xml><?xml version="1.0" encoding="utf-8"?>
<ds:datastoreItem xmlns:ds="http://schemas.openxmlformats.org/officeDocument/2006/customXml" ds:itemID="{0FEB1A2D-2ED0-4FAF-BEAE-83B1886885B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19</vt:i4>
      </vt:variant>
    </vt:vector>
  </HeadingPairs>
  <TitlesOfParts>
    <vt:vector size="21" baseType="lpstr">
      <vt:lpstr>Acctg</vt:lpstr>
      <vt:lpstr>Employee Totals by Account</vt:lpstr>
      <vt:lpstr>'Employee Totals by Account'!CHealthLife</vt:lpstr>
      <vt:lpstr>'Employee Totals by Account'!COtherBen</vt:lpstr>
      <vt:lpstr>'Employee Totals by Account'!CPens</vt:lpstr>
      <vt:lpstr>'Employee Totals by Account'!CPRTax</vt:lpstr>
      <vt:lpstr>'Employee Totals by Account'!CWage</vt:lpstr>
      <vt:lpstr>'Employee Totals by Account'!CWorkC</vt:lpstr>
      <vt:lpstr>'Employee Totals by Account'!Dental</vt:lpstr>
      <vt:lpstr>'Employee Totals by Account'!EBLnRange</vt:lpstr>
      <vt:lpstr>'Employee Totals by Account'!Health</vt:lpstr>
      <vt:lpstr>'Employee Totals by Account'!HealthLife</vt:lpstr>
      <vt:lpstr>'Employee Totals by Account'!Life</vt:lpstr>
      <vt:lpstr>'Employee Totals by Account'!Other</vt:lpstr>
      <vt:lpstr>'Employee Totals by Account'!Other2</vt:lpstr>
      <vt:lpstr>'Employee Totals by Account'!Penwion</vt:lpstr>
      <vt:lpstr>'Employee Totals by Account'!PRTax</vt:lpstr>
      <vt:lpstr>'Employee Totals by Account'!SalAcct</vt:lpstr>
      <vt:lpstr>'Employee Totals by Account'!TotBenRange</vt:lpstr>
      <vt:lpstr>'Employee Totals by Account'!TotTaxRange</vt:lpstr>
      <vt:lpstr>'Employee Totals by Account'!WorkC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2022-06-14T10:12:00Z</dcterms:created>
  <dcterms:modified xsi:type="dcterms:W3CDTF">2023-09-05T07:54:29Z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